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vza001\1950生活福祉課\保護第一・第二係共通\●保護動向\☆保護動向\市ＨＰ（オープンデータ）\"/>
    </mc:Choice>
  </mc:AlternateContent>
  <bookViews>
    <workbookView xWindow="855" yWindow="345" windowWidth="13950" windowHeight="10185" tabRatio="800" firstSheet="1" activeTab="1"/>
  </bookViews>
  <sheets>
    <sheet name="R5.4.1" sheetId="277" r:id="rId1"/>
    <sheet name="R5.3.1" sheetId="276" r:id="rId2"/>
    <sheet name="R5.2.1 " sheetId="275" r:id="rId3"/>
    <sheet name="R5.1.1" sheetId="274" r:id="rId4"/>
    <sheet name="R4.12.1 " sheetId="273" r:id="rId5"/>
    <sheet name="R4.11.1" sheetId="272" r:id="rId6"/>
    <sheet name="R4.10.1 " sheetId="271" r:id="rId7"/>
    <sheet name="R4.9.1 " sheetId="270" r:id="rId8"/>
    <sheet name="R4.8.1 " sheetId="269" r:id="rId9"/>
    <sheet name="R4.7.1 " sheetId="268" r:id="rId10"/>
    <sheet name="R4.６.1" sheetId="267" r:id="rId11"/>
    <sheet name="R4.５.1" sheetId="266" r:id="rId12"/>
    <sheet name="R4.4.1" sheetId="265" r:id="rId13"/>
  </sheets>
  <definedNames>
    <definedName name="_xlnm.Print_Area" localSheetId="6">'R4.10.1 '!$A$1:$AG$108</definedName>
    <definedName name="_xlnm.Print_Area" localSheetId="5">'R4.11.1'!$A$1:$AG$108</definedName>
    <definedName name="_xlnm.Print_Area" localSheetId="4">'R4.12.1 '!$A$1:$AG$108</definedName>
    <definedName name="_xlnm.Print_Area" localSheetId="12">'R4.4.1'!$A$1:$AG$108</definedName>
    <definedName name="_xlnm.Print_Area" localSheetId="11">'R4.５.1'!$A$1:$AG$108</definedName>
    <definedName name="_xlnm.Print_Area" localSheetId="10">'R4.６.1'!$A$1:$AG$108</definedName>
    <definedName name="_xlnm.Print_Area" localSheetId="9">'R4.7.1 '!$A$1:$AG$108</definedName>
    <definedName name="_xlnm.Print_Area" localSheetId="8">'R4.8.1 '!$A$1:$AG$108</definedName>
    <definedName name="_xlnm.Print_Area" localSheetId="7">'R4.9.1 '!$A$1:$AG$108</definedName>
    <definedName name="_xlnm.Print_Area" localSheetId="3">'R5.1.1'!$A$1:$AG$108</definedName>
    <definedName name="_xlnm.Print_Area" localSheetId="2">'R5.2.1 '!$A$1:$AG$108</definedName>
    <definedName name="_xlnm.Print_Area" localSheetId="1">'R5.3.1'!$A$1:$AG$108</definedName>
    <definedName name="_xlnm.Print_Area" localSheetId="0">'R5.4.1'!$A$1:$AG$108</definedName>
  </definedNames>
  <calcPr calcId="152511"/>
</workbook>
</file>

<file path=xl/calcChain.xml><?xml version="1.0" encoding="utf-8"?>
<calcChain xmlns="http://schemas.openxmlformats.org/spreadsheetml/2006/main">
  <c r="AC49" i="277" l="1"/>
  <c r="AC48" i="277"/>
  <c r="N18" i="277"/>
  <c r="I18" i="277"/>
  <c r="X108" i="277" l="1"/>
  <c r="S108" i="277"/>
  <c r="AC108" i="277" s="1"/>
  <c r="I108" i="277"/>
  <c r="D108" i="277"/>
  <c r="AD92" i="277"/>
  <c r="Z96" i="277"/>
  <c r="Z95" i="277"/>
  <c r="Z94" i="277"/>
  <c r="Z93" i="277"/>
  <c r="Z92" i="277"/>
  <c r="Z100" i="277"/>
  <c r="Z99" i="277"/>
  <c r="Z98" i="277"/>
  <c r="Z97" i="277"/>
  <c r="AA87" i="277"/>
  <c r="AA86" i="277"/>
  <c r="N58" i="277"/>
  <c r="R58" i="277"/>
  <c r="V58" i="277"/>
  <c r="Z58" i="277"/>
  <c r="Z57" i="277"/>
  <c r="J57" i="277"/>
  <c r="AD59" i="277"/>
  <c r="L39" i="277"/>
  <c r="Q39" i="277"/>
  <c r="AC47" i="277"/>
  <c r="AC46" i="277"/>
  <c r="AC45" i="277"/>
  <c r="AC44" i="277"/>
  <c r="AC43" i="277"/>
  <c r="AC42" i="277"/>
  <c r="AC41" i="277"/>
  <c r="AC40" i="277"/>
  <c r="AC39" i="277"/>
  <c r="Y38" i="277"/>
  <c r="W48" i="277"/>
  <c r="W47" i="277"/>
  <c r="W46" i="277"/>
  <c r="W45" i="277"/>
  <c r="W44" i="277"/>
  <c r="W43" i="277"/>
  <c r="W42" i="277"/>
  <c r="W41" i="277"/>
  <c r="W40" i="277"/>
  <c r="W39" i="277"/>
  <c r="W49" i="277"/>
  <c r="S38" i="277"/>
  <c r="N38" i="277"/>
  <c r="I38" i="277"/>
  <c r="D38" i="277"/>
  <c r="D38" i="276"/>
  <c r="I38" i="276"/>
  <c r="N108" i="277"/>
  <c r="AC105" i="277"/>
  <c r="V100" i="277"/>
  <c r="N100" i="277"/>
  <c r="V99" i="277"/>
  <c r="N99" i="277"/>
  <c r="AD98" i="277"/>
  <c r="V98" i="277"/>
  <c r="N98" i="277"/>
  <c r="AD97" i="277"/>
  <c r="V97" i="277"/>
  <c r="N97" i="277"/>
  <c r="V96" i="277"/>
  <c r="N95" i="277"/>
  <c r="V94" i="277"/>
  <c r="N94" i="277"/>
  <c r="V93" i="277"/>
  <c r="N93" i="277"/>
  <c r="V92" i="277"/>
  <c r="N92" i="277"/>
  <c r="V87" i="277"/>
  <c r="Q87" i="277"/>
  <c r="L87" i="277"/>
  <c r="AD96" i="277"/>
  <c r="G86" i="277"/>
  <c r="T82" i="277"/>
  <c r="T81" i="277"/>
  <c r="T80" i="277"/>
  <c r="T79" i="277"/>
  <c r="T78" i="277"/>
  <c r="AC73" i="277"/>
  <c r="Z73" i="277"/>
  <c r="T73" i="277"/>
  <c r="R73" i="277"/>
  <c r="K73" i="277"/>
  <c r="H73" i="277"/>
  <c r="AE71" i="277"/>
  <c r="X73" i="277" s="1"/>
  <c r="AE69" i="277"/>
  <c r="AE67" i="277"/>
  <c r="Z62" i="277"/>
  <c r="V62" i="277"/>
  <c r="R62" i="277"/>
  <c r="N62" i="277"/>
  <c r="Z61" i="277"/>
  <c r="V61" i="277"/>
  <c r="R61" i="277"/>
  <c r="N61" i="277"/>
  <c r="J62" i="277"/>
  <c r="Q43" i="277"/>
  <c r="Q42" i="277"/>
  <c r="L42" i="277"/>
  <c r="Q41" i="277"/>
  <c r="L41" i="277"/>
  <c r="Q40" i="277"/>
  <c r="L40" i="277"/>
  <c r="AE38" i="277"/>
  <c r="AE24" i="277"/>
  <c r="N24" i="277"/>
  <c r="I24" i="277"/>
  <c r="X18" i="277"/>
  <c r="X17" i="277"/>
  <c r="X16" i="277"/>
  <c r="X15" i="277"/>
  <c r="X14" i="277"/>
  <c r="X13" i="277"/>
  <c r="V8" i="277"/>
  <c r="AD100" i="277" l="1"/>
  <c r="J61" i="277"/>
  <c r="AD61" i="277" s="1"/>
  <c r="AD57" i="277"/>
  <c r="M73" i="277"/>
  <c r="V73" i="277"/>
  <c r="O73" i="277"/>
  <c r="AD93" i="277"/>
  <c r="AA87" i="276"/>
  <c r="AE69" i="276"/>
  <c r="AE67" i="276"/>
  <c r="AD62" i="276"/>
  <c r="Z62" i="276"/>
  <c r="V62" i="276"/>
  <c r="R62" i="276"/>
  <c r="N62" i="276"/>
  <c r="J62" i="276"/>
  <c r="Z61" i="276"/>
  <c r="V61" i="276"/>
  <c r="R61" i="276"/>
  <c r="N61" i="276"/>
  <c r="J61" i="276"/>
  <c r="AD57" i="276"/>
  <c r="AD59" i="276"/>
  <c r="AD62" i="277" l="1"/>
  <c r="Q43" i="276" l="1"/>
  <c r="Q42" i="276"/>
  <c r="Q41" i="276"/>
  <c r="Q40" i="276"/>
  <c r="Q39" i="276"/>
  <c r="X108" i="276" l="1"/>
  <c r="S108" i="276"/>
  <c r="N108" i="276"/>
  <c r="I108" i="276"/>
  <c r="D108" i="276"/>
  <c r="AD100" i="276"/>
  <c r="AD99" i="276"/>
  <c r="Z100" i="276"/>
  <c r="Z99" i="276"/>
  <c r="Z98" i="276"/>
  <c r="Z97" i="276"/>
  <c r="Z96" i="276"/>
  <c r="Z95" i="276"/>
  <c r="Z94" i="276"/>
  <c r="AD94" i="276" s="1"/>
  <c r="Z93" i="276"/>
  <c r="Z92" i="276"/>
  <c r="AA86" i="276"/>
  <c r="R60" i="276"/>
  <c r="N60" i="276"/>
  <c r="Z58" i="276"/>
  <c r="V58" i="276"/>
  <c r="R58" i="276"/>
  <c r="N58" i="276"/>
  <c r="J57" i="276"/>
  <c r="N18" i="276"/>
  <c r="I18" i="276"/>
  <c r="AC48" i="276"/>
  <c r="AC49" i="276"/>
  <c r="AC47" i="276"/>
  <c r="AC46" i="276"/>
  <c r="AC45" i="276"/>
  <c r="AC44" i="276"/>
  <c r="AC43" i="276"/>
  <c r="AC42" i="276"/>
  <c r="AC41" i="276"/>
  <c r="AC40" i="276"/>
  <c r="AC39" i="276"/>
  <c r="W49" i="276"/>
  <c r="W48" i="276"/>
  <c r="W47" i="276"/>
  <c r="W45" i="276"/>
  <c r="W41" i="276"/>
  <c r="W39" i="276"/>
  <c r="W46" i="276"/>
  <c r="W44" i="276"/>
  <c r="W43" i="276"/>
  <c r="W42" i="276"/>
  <c r="W40" i="276"/>
  <c r="L39" i="276"/>
  <c r="Y38" i="276"/>
  <c r="S38" i="276"/>
  <c r="N38" i="276"/>
  <c r="AC108" i="276"/>
  <c r="AC105" i="276"/>
  <c r="V100" i="276"/>
  <c r="N100" i="276"/>
  <c r="V99" i="276"/>
  <c r="N99" i="276"/>
  <c r="AD98" i="276"/>
  <c r="V98" i="276"/>
  <c r="N98" i="276"/>
  <c r="AD97" i="276"/>
  <c r="V97" i="276"/>
  <c r="N97" i="276"/>
  <c r="AD96" i="276"/>
  <c r="V96" i="276"/>
  <c r="N95" i="276"/>
  <c r="V94" i="276"/>
  <c r="N94" i="276"/>
  <c r="AD93" i="276"/>
  <c r="V93" i="276"/>
  <c r="N93" i="276"/>
  <c r="V92" i="276"/>
  <c r="N92" i="276"/>
  <c r="V87" i="276"/>
  <c r="Q87" i="276"/>
  <c r="L87" i="276"/>
  <c r="G86" i="276"/>
  <c r="T82" i="276"/>
  <c r="T81" i="276"/>
  <c r="T80" i="276"/>
  <c r="T79" i="276"/>
  <c r="T78" i="276"/>
  <c r="AE71" i="276"/>
  <c r="V73" i="276" s="1"/>
  <c r="V60" i="276"/>
  <c r="L42" i="276"/>
  <c r="L41" i="276"/>
  <c r="L40" i="276"/>
  <c r="AE38" i="276"/>
  <c r="AE24" i="276"/>
  <c r="N24" i="276"/>
  <c r="I24" i="276"/>
  <c r="X18" i="276"/>
  <c r="X17" i="276"/>
  <c r="X16" i="276"/>
  <c r="X15" i="276"/>
  <c r="X14" i="276"/>
  <c r="X13" i="276"/>
  <c r="V8" i="276"/>
  <c r="AD61" i="276" l="1"/>
  <c r="H73" i="276"/>
  <c r="R73" i="276"/>
  <c r="Z73" i="276"/>
  <c r="X73" i="276"/>
  <c r="K73" i="276"/>
  <c r="T73" i="276"/>
  <c r="AC73" i="276"/>
  <c r="O73" i="276"/>
  <c r="M73" i="276"/>
  <c r="T81" i="275"/>
  <c r="T82" i="275"/>
  <c r="I108" i="275" l="1"/>
  <c r="S108" i="275"/>
  <c r="X108" i="275"/>
  <c r="N108" i="275"/>
  <c r="D108" i="275"/>
  <c r="AD100" i="275"/>
  <c r="AD99" i="275"/>
  <c r="AD98" i="275"/>
  <c r="AD97" i="275"/>
  <c r="Z100" i="275"/>
  <c r="Z99" i="275"/>
  <c r="Z98" i="275"/>
  <c r="Z97" i="275"/>
  <c r="Z96" i="275"/>
  <c r="Z95" i="275"/>
  <c r="Z94" i="275"/>
  <c r="Z93" i="275"/>
  <c r="Z92" i="275"/>
  <c r="AA87" i="275"/>
  <c r="AA86" i="275"/>
  <c r="J57" i="275"/>
  <c r="AC48" i="275"/>
  <c r="AC49" i="275"/>
  <c r="AC47" i="275"/>
  <c r="AC46" i="275"/>
  <c r="AC45" i="275"/>
  <c r="AC44" i="275"/>
  <c r="AC43" i="275"/>
  <c r="AC42" i="275"/>
  <c r="AC41" i="275"/>
  <c r="AC40" i="275"/>
  <c r="AC39" i="275"/>
  <c r="W49" i="275"/>
  <c r="W48" i="275"/>
  <c r="W47" i="275"/>
  <c r="W46" i="275"/>
  <c r="W45" i="275"/>
  <c r="W44" i="275"/>
  <c r="W43" i="275"/>
  <c r="W42" i="275"/>
  <c r="W41" i="275"/>
  <c r="W40" i="275"/>
  <c r="W39" i="275"/>
  <c r="L42" i="275"/>
  <c r="Q39" i="275"/>
  <c r="Y38" i="275"/>
  <c r="S38" i="275"/>
  <c r="N38" i="275"/>
  <c r="I38" i="275"/>
  <c r="D38" i="275"/>
  <c r="N18" i="275"/>
  <c r="AC108" i="275" l="1"/>
  <c r="AC105" i="275"/>
  <c r="V100" i="275"/>
  <c r="N100" i="275"/>
  <c r="V99" i="275"/>
  <c r="N99" i="275"/>
  <c r="V98" i="275"/>
  <c r="N98" i="275"/>
  <c r="V97" i="275"/>
  <c r="N97" i="275"/>
  <c r="AD96" i="275"/>
  <c r="V96" i="275"/>
  <c r="N95" i="275"/>
  <c r="V94" i="275"/>
  <c r="N94" i="275"/>
  <c r="V93" i="275"/>
  <c r="N93" i="275"/>
  <c r="V92" i="275"/>
  <c r="N92" i="275"/>
  <c r="V87" i="275"/>
  <c r="Q87" i="275"/>
  <c r="L87" i="275"/>
  <c r="AD94" i="275"/>
  <c r="G86" i="275"/>
  <c r="T80" i="275"/>
  <c r="T79" i="275"/>
  <c r="T78" i="275"/>
  <c r="AC73" i="275"/>
  <c r="T73" i="275"/>
  <c r="K73" i="275"/>
  <c r="AE71" i="275"/>
  <c r="Z73" i="275" s="1"/>
  <c r="AE69" i="275"/>
  <c r="AE67" i="275"/>
  <c r="Z62" i="275"/>
  <c r="V62" i="275"/>
  <c r="R62" i="275"/>
  <c r="N62" i="275"/>
  <c r="J62" i="275"/>
  <c r="Z61" i="275"/>
  <c r="V61" i="275"/>
  <c r="R61" i="275"/>
  <c r="N61" i="275"/>
  <c r="J61" i="275"/>
  <c r="V60" i="275"/>
  <c r="N60" i="275"/>
  <c r="AD57" i="275"/>
  <c r="AD62" i="275" s="1"/>
  <c r="Q43" i="275"/>
  <c r="Q42" i="275"/>
  <c r="Q41" i="275"/>
  <c r="L41" i="275"/>
  <c r="Q40" i="275"/>
  <c r="L40" i="275"/>
  <c r="L39" i="275"/>
  <c r="AE38" i="275"/>
  <c r="AE24" i="275"/>
  <c r="N24" i="275"/>
  <c r="I24" i="275"/>
  <c r="I18" i="275"/>
  <c r="X18" i="275" s="1"/>
  <c r="X17" i="275"/>
  <c r="X16" i="275"/>
  <c r="X15" i="275"/>
  <c r="X14" i="275"/>
  <c r="X13" i="275"/>
  <c r="V8" i="275"/>
  <c r="AD61" i="275" l="1"/>
  <c r="N58" i="275"/>
  <c r="R58" i="275"/>
  <c r="M73" i="275"/>
  <c r="V73" i="275"/>
  <c r="V58" i="275"/>
  <c r="O73" i="275"/>
  <c r="X73" i="275"/>
  <c r="AD92" i="275"/>
  <c r="AD93" i="275"/>
  <c r="J58" i="275"/>
  <c r="Z58" i="275"/>
  <c r="H73" i="275"/>
  <c r="R73" i="275"/>
  <c r="X108" i="274"/>
  <c r="AC108" i="274" s="1"/>
  <c r="S108" i="274"/>
  <c r="I108" i="274"/>
  <c r="N108" i="274"/>
  <c r="D108" i="274"/>
  <c r="Q43" i="274"/>
  <c r="Q42" i="274"/>
  <c r="Q41" i="274"/>
  <c r="Q40" i="274"/>
  <c r="Q39" i="274"/>
  <c r="AD93" i="274"/>
  <c r="AD94" i="274"/>
  <c r="AD92" i="274"/>
  <c r="Z100" i="274"/>
  <c r="Z99" i="274"/>
  <c r="Z98" i="274"/>
  <c r="Z97" i="274"/>
  <c r="AD97" i="274" s="1"/>
  <c r="Z96" i="274"/>
  <c r="Z95" i="274"/>
  <c r="Z94" i="274"/>
  <c r="Z93" i="274"/>
  <c r="Z92" i="274"/>
  <c r="AA86" i="274"/>
  <c r="AD57" i="274"/>
  <c r="J57" i="274"/>
  <c r="W49" i="274"/>
  <c r="W45" i="274"/>
  <c r="W48" i="274"/>
  <c r="W47" i="274"/>
  <c r="W46" i="274"/>
  <c r="W44" i="274"/>
  <c r="W43" i="274"/>
  <c r="W42" i="274"/>
  <c r="W41" i="274"/>
  <c r="W40" i="274"/>
  <c r="W39" i="274"/>
  <c r="AC48" i="274"/>
  <c r="AC49" i="274"/>
  <c r="AC47" i="274"/>
  <c r="AC46" i="274"/>
  <c r="AC45" i="274"/>
  <c r="AC44" i="274"/>
  <c r="AC43" i="274"/>
  <c r="AC42" i="274"/>
  <c r="AC41" i="274"/>
  <c r="AC40" i="274"/>
  <c r="AC39" i="274"/>
  <c r="Y38" i="274"/>
  <c r="S38" i="274"/>
  <c r="N38" i="274"/>
  <c r="I38" i="274"/>
  <c r="D38" i="274"/>
  <c r="N18" i="274"/>
  <c r="I18" i="274"/>
  <c r="X18" i="274" s="1"/>
  <c r="AC105" i="274"/>
  <c r="V100" i="274"/>
  <c r="N100" i="274"/>
  <c r="V99" i="274"/>
  <c r="N99" i="274"/>
  <c r="AD98" i="274"/>
  <c r="V98" i="274"/>
  <c r="N98" i="274"/>
  <c r="V97" i="274"/>
  <c r="N97" i="274"/>
  <c r="AD96" i="274"/>
  <c r="V96" i="274"/>
  <c r="N95" i="274"/>
  <c r="V94" i="274"/>
  <c r="N94" i="274"/>
  <c r="V93" i="274"/>
  <c r="N93" i="274"/>
  <c r="V92" i="274"/>
  <c r="N92" i="274"/>
  <c r="V87" i="274"/>
  <c r="Q87" i="274"/>
  <c r="L87" i="274"/>
  <c r="AA87" i="274"/>
  <c r="G86" i="274"/>
  <c r="T81" i="274"/>
  <c r="T80" i="274"/>
  <c r="T79" i="274"/>
  <c r="T78" i="274"/>
  <c r="AE71" i="274"/>
  <c r="X73" i="274" s="1"/>
  <c r="AE69" i="274"/>
  <c r="AE67" i="274"/>
  <c r="Z62" i="274"/>
  <c r="V62" i="274"/>
  <c r="R62" i="274"/>
  <c r="N62" i="274"/>
  <c r="J62" i="274"/>
  <c r="Z61" i="274"/>
  <c r="V61" i="274"/>
  <c r="R61" i="274"/>
  <c r="N61" i="274"/>
  <c r="J61" i="274"/>
  <c r="AD61" i="274" s="1"/>
  <c r="V60" i="274"/>
  <c r="N60" i="274"/>
  <c r="R58" i="274"/>
  <c r="L42" i="274"/>
  <c r="L41" i="274"/>
  <c r="L40" i="274"/>
  <c r="L39" i="274"/>
  <c r="AE38" i="274"/>
  <c r="AE24" i="274"/>
  <c r="N24" i="274"/>
  <c r="I24" i="274"/>
  <c r="X17" i="274"/>
  <c r="X16" i="274"/>
  <c r="X15" i="274"/>
  <c r="X14" i="274"/>
  <c r="X13" i="274"/>
  <c r="V8" i="274"/>
  <c r="AD99" i="274" l="1"/>
  <c r="N58" i="274"/>
  <c r="J58" i="274"/>
  <c r="V58" i="274"/>
  <c r="Z58" i="274"/>
  <c r="AD62" i="274"/>
  <c r="H73" i="274"/>
  <c r="R73" i="274"/>
  <c r="Z73" i="274"/>
  <c r="K73" i="274"/>
  <c r="T73" i="274"/>
  <c r="AC73" i="274"/>
  <c r="M73" i="274"/>
  <c r="V73" i="274"/>
  <c r="O73" i="274"/>
  <c r="AA87" i="273"/>
  <c r="Z58" i="273"/>
  <c r="V58" i="273"/>
  <c r="R58" i="273"/>
  <c r="N58" i="273"/>
  <c r="X108" i="273"/>
  <c r="S108" i="273"/>
  <c r="N108" i="273"/>
  <c r="I108" i="273"/>
  <c r="D108" i="273"/>
  <c r="Q40" i="273"/>
  <c r="Q43" i="273"/>
  <c r="Q39" i="273"/>
  <c r="L42" i="273"/>
  <c r="L40" i="273"/>
  <c r="L41" i="273"/>
  <c r="AD96" i="273"/>
  <c r="AD94" i="273"/>
  <c r="AD92" i="273"/>
  <c r="Z100" i="273"/>
  <c r="Z99" i="273"/>
  <c r="Z98" i="273"/>
  <c r="Z97" i="273"/>
  <c r="Z96" i="273"/>
  <c r="Z95" i="273"/>
  <c r="Z94" i="273"/>
  <c r="Z93" i="273"/>
  <c r="Z92" i="273"/>
  <c r="AA86" i="273"/>
  <c r="AE69" i="273"/>
  <c r="AE67" i="273"/>
  <c r="J58" i="273"/>
  <c r="J57" i="273"/>
  <c r="AC42" i="273" l="1"/>
  <c r="AC49" i="273"/>
  <c r="AC48" i="273"/>
  <c r="AC47" i="273"/>
  <c r="AC46" i="273"/>
  <c r="AC45" i="273"/>
  <c r="AC44" i="273"/>
  <c r="AC43" i="273"/>
  <c r="AC41" i="273"/>
  <c r="AC40" i="273"/>
  <c r="AC39" i="273"/>
  <c r="W49" i="273"/>
  <c r="W48" i="273"/>
  <c r="W47" i="273"/>
  <c r="W46" i="273"/>
  <c r="W45" i="273"/>
  <c r="W44" i="273"/>
  <c r="W43" i="273"/>
  <c r="W42" i="273"/>
  <c r="W41" i="273"/>
  <c r="W40" i="273"/>
  <c r="W39" i="273"/>
  <c r="Y38" i="273"/>
  <c r="AE38" i="273" s="1"/>
  <c r="S38" i="273"/>
  <c r="N38" i="273"/>
  <c r="I38" i="273"/>
  <c r="D38" i="273"/>
  <c r="N18" i="273"/>
  <c r="I18" i="273"/>
  <c r="X18" i="273" s="1"/>
  <c r="AC108" i="273"/>
  <c r="AC105" i="273"/>
  <c r="V100" i="273"/>
  <c r="N100" i="273"/>
  <c r="AD99" i="273"/>
  <c r="V99" i="273"/>
  <c r="N99" i="273"/>
  <c r="AD98" i="273"/>
  <c r="V98" i="273"/>
  <c r="N98" i="273"/>
  <c r="V97" i="273"/>
  <c r="N97" i="273"/>
  <c r="V96" i="273"/>
  <c r="N95" i="273"/>
  <c r="V94" i="273"/>
  <c r="N94" i="273"/>
  <c r="V93" i="273"/>
  <c r="N93" i="273"/>
  <c r="V92" i="273"/>
  <c r="N92" i="273"/>
  <c r="V87" i="273"/>
  <c r="Q87" i="273"/>
  <c r="L87" i="273"/>
  <c r="G86" i="273"/>
  <c r="T81" i="273"/>
  <c r="T80" i="273"/>
  <c r="T79" i="273"/>
  <c r="T78" i="273"/>
  <c r="Z73" i="273"/>
  <c r="R73" i="273"/>
  <c r="H73" i="273"/>
  <c r="AE71" i="273"/>
  <c r="AC73" i="273" s="1"/>
  <c r="Z62" i="273"/>
  <c r="V62" i="273"/>
  <c r="R62" i="273"/>
  <c r="N62" i="273"/>
  <c r="J62" i="273"/>
  <c r="Z61" i="273"/>
  <c r="V61" i="273"/>
  <c r="R61" i="273"/>
  <c r="N61" i="273"/>
  <c r="V60" i="273"/>
  <c r="N60" i="273"/>
  <c r="AD57" i="273"/>
  <c r="J61" i="273"/>
  <c r="Q42" i="273"/>
  <c r="Q41" i="273"/>
  <c r="L39" i="273"/>
  <c r="AE24" i="273"/>
  <c r="N24" i="273"/>
  <c r="I24" i="273"/>
  <c r="X17" i="273"/>
  <c r="X16" i="273"/>
  <c r="X15" i="273"/>
  <c r="X14" i="273"/>
  <c r="X13" i="273"/>
  <c r="V8" i="273"/>
  <c r="AD61" i="273" l="1"/>
  <c r="AD62" i="273"/>
  <c r="M73" i="273"/>
  <c r="V73" i="273"/>
  <c r="AD97" i="273"/>
  <c r="O73" i="273"/>
  <c r="X73" i="273"/>
  <c r="K73" i="273"/>
  <c r="T73" i="273"/>
  <c r="AD99" i="272"/>
  <c r="AD97" i="272"/>
  <c r="AD57" i="272"/>
  <c r="J57" i="272"/>
  <c r="X108" i="272" l="1"/>
  <c r="S108" i="272"/>
  <c r="N108" i="272"/>
  <c r="I108" i="272"/>
  <c r="D108" i="272"/>
  <c r="Q39" i="272"/>
  <c r="Q41" i="272"/>
  <c r="Q42" i="272"/>
  <c r="Q43" i="272"/>
  <c r="Q40" i="272"/>
  <c r="AD92" i="272" l="1"/>
  <c r="AD93" i="272"/>
  <c r="Z100" i="272"/>
  <c r="Z99" i="272"/>
  <c r="Z98" i="272"/>
  <c r="Z97" i="272"/>
  <c r="Z96" i="272"/>
  <c r="Z95" i="272"/>
  <c r="Z94" i="272"/>
  <c r="Z93" i="272"/>
  <c r="Z92" i="272"/>
  <c r="AA87" i="272"/>
  <c r="AA86" i="272"/>
  <c r="Z57" i="272"/>
  <c r="L39" i="272"/>
  <c r="AC49" i="272"/>
  <c r="AC48" i="272"/>
  <c r="AC47" i="272"/>
  <c r="AC46" i="272"/>
  <c r="AC45" i="272"/>
  <c r="AC44" i="272"/>
  <c r="AC43" i="272"/>
  <c r="AC42" i="272"/>
  <c r="AC41" i="272"/>
  <c r="AC40" i="272"/>
  <c r="AC39" i="272"/>
  <c r="W49" i="272"/>
  <c r="W48" i="272"/>
  <c r="W47" i="272"/>
  <c r="W46" i="272"/>
  <c r="W45" i="272"/>
  <c r="W44" i="272"/>
  <c r="W43" i="272"/>
  <c r="W42" i="272"/>
  <c r="W41" i="272"/>
  <c r="W40" i="272"/>
  <c r="W39" i="272"/>
  <c r="Y38" i="272"/>
  <c r="S38" i="272"/>
  <c r="N38" i="272"/>
  <c r="I38" i="272"/>
  <c r="D38" i="272"/>
  <c r="N18" i="272" l="1"/>
  <c r="I18" i="272"/>
  <c r="AC108" i="272" l="1"/>
  <c r="AC105" i="272"/>
  <c r="V100" i="272"/>
  <c r="N100" i="272"/>
  <c r="V99" i="272"/>
  <c r="N99" i="272"/>
  <c r="V98" i="272"/>
  <c r="N98" i="272"/>
  <c r="V97" i="272"/>
  <c r="N97" i="272"/>
  <c r="AD96" i="272"/>
  <c r="V96" i="272"/>
  <c r="N95" i="272"/>
  <c r="AD94" i="272"/>
  <c r="V94" i="272"/>
  <c r="N94" i="272"/>
  <c r="V93" i="272"/>
  <c r="N93" i="272"/>
  <c r="V92" i="272"/>
  <c r="N92" i="272"/>
  <c r="V87" i="272"/>
  <c r="Q87" i="272"/>
  <c r="L87" i="272"/>
  <c r="G86" i="272"/>
  <c r="T81" i="272"/>
  <c r="T80" i="272"/>
  <c r="T79" i="272"/>
  <c r="T78" i="272"/>
  <c r="AE71" i="272"/>
  <c r="Z73" i="272" s="1"/>
  <c r="AE69" i="272"/>
  <c r="AE67" i="272"/>
  <c r="Z62" i="272"/>
  <c r="V62" i="272"/>
  <c r="R62" i="272"/>
  <c r="N62" i="272"/>
  <c r="Z61" i="272"/>
  <c r="V61" i="272"/>
  <c r="R61" i="272"/>
  <c r="N61" i="272"/>
  <c r="V60" i="272"/>
  <c r="R60" i="272"/>
  <c r="N60" i="272"/>
  <c r="J60" i="272"/>
  <c r="AD62" i="272"/>
  <c r="J61" i="272"/>
  <c r="L42" i="272"/>
  <c r="L41" i="272"/>
  <c r="L40" i="272"/>
  <c r="AE38" i="272"/>
  <c r="AE24" i="272"/>
  <c r="N24" i="272"/>
  <c r="I24" i="272"/>
  <c r="X18" i="272"/>
  <c r="X17" i="272"/>
  <c r="X16" i="272"/>
  <c r="X15" i="272"/>
  <c r="X14" i="272"/>
  <c r="X13" i="272"/>
  <c r="V8" i="272"/>
  <c r="J62" i="272" l="1"/>
  <c r="AD100" i="272"/>
  <c r="AD61" i="272"/>
  <c r="X73" i="272"/>
  <c r="R58" i="272"/>
  <c r="K73" i="272"/>
  <c r="T73" i="272"/>
  <c r="AC73" i="272"/>
  <c r="O73" i="272"/>
  <c r="V58" i="272"/>
  <c r="M73" i="272"/>
  <c r="V73" i="272"/>
  <c r="AD98" i="272"/>
  <c r="J58" i="272"/>
  <c r="H73" i="272"/>
  <c r="R73" i="272"/>
  <c r="AE69" i="271"/>
  <c r="AE67" i="271"/>
  <c r="Z61" i="271"/>
  <c r="V61" i="271"/>
  <c r="R61" i="271"/>
  <c r="N61" i="271"/>
  <c r="J61" i="271"/>
  <c r="AD57" i="271"/>
  <c r="Q43" i="271"/>
  <c r="Q42" i="271"/>
  <c r="Q41" i="271"/>
  <c r="Q40" i="271"/>
  <c r="Q39" i="271"/>
  <c r="I38" i="271"/>
  <c r="AE71" i="271" l="1"/>
  <c r="H73" i="271" s="1"/>
  <c r="S108" i="271"/>
  <c r="N108" i="271"/>
  <c r="D108" i="271"/>
  <c r="AD97" i="271"/>
  <c r="Z100" i="271"/>
  <c r="Z99" i="271"/>
  <c r="Z98" i="271"/>
  <c r="Z97" i="271"/>
  <c r="Z95" i="271"/>
  <c r="Z96" i="271"/>
  <c r="Z94" i="271"/>
  <c r="Z93" i="271"/>
  <c r="Z92" i="271"/>
  <c r="AA87" i="271"/>
  <c r="AA86" i="271"/>
  <c r="X73" i="271" l="1"/>
  <c r="O73" i="271"/>
  <c r="M73" i="271"/>
  <c r="AC73" i="271"/>
  <c r="T73" i="271"/>
  <c r="K73" i="271"/>
  <c r="V73" i="271"/>
  <c r="Z73" i="271"/>
  <c r="R73" i="271"/>
  <c r="X108" i="271"/>
  <c r="I108" i="271"/>
  <c r="J57" i="271" l="1"/>
  <c r="AC48" i="271"/>
  <c r="AC49" i="271"/>
  <c r="AC47" i="271"/>
  <c r="AC46" i="271"/>
  <c r="AC45" i="271"/>
  <c r="AC44" i="271"/>
  <c r="AC43" i="271"/>
  <c r="AC42" i="271"/>
  <c r="AC41" i="271"/>
  <c r="AC40" i="271"/>
  <c r="AC39" i="271"/>
  <c r="W46" i="270" l="1"/>
  <c r="W46" i="271"/>
  <c r="W48" i="271"/>
  <c r="W47" i="271"/>
  <c r="W47" i="270"/>
  <c r="W49" i="271"/>
  <c r="W45" i="271"/>
  <c r="W44" i="271"/>
  <c r="W43" i="271"/>
  <c r="W42" i="271"/>
  <c r="W41" i="271"/>
  <c r="W40" i="271"/>
  <c r="W39" i="271"/>
  <c r="Y38" i="271"/>
  <c r="S38" i="271"/>
  <c r="N38" i="271"/>
  <c r="D38" i="271"/>
  <c r="N18" i="271"/>
  <c r="I18" i="271"/>
  <c r="AC108" i="271"/>
  <c r="AC105" i="271"/>
  <c r="AD100" i="271"/>
  <c r="V100" i="271"/>
  <c r="N100" i="271"/>
  <c r="V99" i="271"/>
  <c r="N99" i="271"/>
  <c r="AD98" i="271"/>
  <c r="V98" i="271"/>
  <c r="N98" i="271"/>
  <c r="V97" i="271"/>
  <c r="N97" i="271"/>
  <c r="AD96" i="271"/>
  <c r="V96" i="271"/>
  <c r="N95" i="271"/>
  <c r="AD94" i="271"/>
  <c r="V94" i="271"/>
  <c r="N94" i="271"/>
  <c r="AD93" i="271"/>
  <c r="V93" i="271"/>
  <c r="N93" i="271"/>
  <c r="V92" i="271"/>
  <c r="N92" i="271"/>
  <c r="V87" i="271"/>
  <c r="Q87" i="271"/>
  <c r="L87" i="271"/>
  <c r="G86" i="271"/>
  <c r="T82" i="271"/>
  <c r="T81" i="271"/>
  <c r="T80" i="271"/>
  <c r="T79" i="271"/>
  <c r="T78" i="271"/>
  <c r="Z62" i="271"/>
  <c r="V62" i="271"/>
  <c r="R62" i="271"/>
  <c r="N62" i="271"/>
  <c r="J62" i="271"/>
  <c r="V60" i="271"/>
  <c r="R60" i="271"/>
  <c r="N60" i="271"/>
  <c r="J60" i="271"/>
  <c r="L42" i="271"/>
  <c r="L41" i="271"/>
  <c r="L40" i="271"/>
  <c r="L39" i="271"/>
  <c r="AE38" i="271"/>
  <c r="AE24" i="271"/>
  <c r="N24" i="271"/>
  <c r="I24" i="271"/>
  <c r="X18" i="271"/>
  <c r="X17" i="271"/>
  <c r="X16" i="271"/>
  <c r="X15" i="271"/>
  <c r="X14" i="271"/>
  <c r="X13" i="271"/>
  <c r="V8" i="271"/>
  <c r="V58" i="271" l="1"/>
  <c r="J58" i="271"/>
  <c r="AD62" i="271"/>
  <c r="R58" i="271"/>
  <c r="AD61" i="271"/>
  <c r="AE67" i="270"/>
  <c r="W49" i="270" l="1"/>
  <c r="Q39" i="270"/>
  <c r="N38" i="270"/>
  <c r="V8" i="270"/>
  <c r="AE69" i="270"/>
  <c r="X108" i="270"/>
  <c r="S108" i="270"/>
  <c r="N108" i="270"/>
  <c r="I108" i="270"/>
  <c r="D108" i="270"/>
  <c r="AD98" i="270"/>
  <c r="AD97" i="270"/>
  <c r="AD93" i="270"/>
  <c r="AD92" i="270"/>
  <c r="Z100" i="270"/>
  <c r="Z99" i="270"/>
  <c r="Z98" i="270"/>
  <c r="Z97" i="270"/>
  <c r="Z96" i="270"/>
  <c r="Z95" i="270"/>
  <c r="Z94" i="270"/>
  <c r="Z93" i="270"/>
  <c r="Z92" i="270"/>
  <c r="AA87" i="270"/>
  <c r="AA86" i="270"/>
  <c r="J58" i="270"/>
  <c r="Z58" i="270"/>
  <c r="V58" i="270"/>
  <c r="R58" i="270"/>
  <c r="AD57" i="270"/>
  <c r="J57" i="270"/>
  <c r="I38" i="270"/>
  <c r="AC48" i="270"/>
  <c r="AC45" i="270"/>
  <c r="AC49" i="270"/>
  <c r="AC47" i="270"/>
  <c r="AC46" i="270"/>
  <c r="AC44" i="270"/>
  <c r="AC43" i="270"/>
  <c r="AC42" i="270"/>
  <c r="AC41" i="270"/>
  <c r="AC40" i="270"/>
  <c r="AC39" i="270"/>
  <c r="W48" i="270"/>
  <c r="W45" i="270"/>
  <c r="W44" i="270"/>
  <c r="W43" i="270"/>
  <c r="W42" i="270"/>
  <c r="W41" i="270"/>
  <c r="W40" i="270"/>
  <c r="W39" i="270"/>
  <c r="Y38" i="270"/>
  <c r="S38" i="270"/>
  <c r="D38" i="270"/>
  <c r="AE38" i="270" l="1"/>
  <c r="X18" i="270"/>
  <c r="N18" i="270"/>
  <c r="I18" i="270"/>
  <c r="AC108" i="270"/>
  <c r="AC105" i="270"/>
  <c r="AD100" i="270"/>
  <c r="V100" i="270"/>
  <c r="N100" i="270"/>
  <c r="AD99" i="270"/>
  <c r="V99" i="270"/>
  <c r="N99" i="270"/>
  <c r="V98" i="270"/>
  <c r="N98" i="270"/>
  <c r="V97" i="270"/>
  <c r="N97" i="270"/>
  <c r="AD96" i="270"/>
  <c r="V96" i="270"/>
  <c r="N95" i="270"/>
  <c r="AD94" i="270"/>
  <c r="V94" i="270"/>
  <c r="N94" i="270"/>
  <c r="V93" i="270"/>
  <c r="N93" i="270"/>
  <c r="V92" i="270"/>
  <c r="N92" i="270"/>
  <c r="V87" i="270"/>
  <c r="Q87" i="270"/>
  <c r="L87" i="270"/>
  <c r="G86" i="270"/>
  <c r="T82" i="270"/>
  <c r="T81" i="270"/>
  <c r="T80" i="270"/>
  <c r="T79" i="270"/>
  <c r="T78" i="270"/>
  <c r="AC73" i="270"/>
  <c r="V73" i="270"/>
  <c r="T73" i="270"/>
  <c r="M73" i="270"/>
  <c r="K73" i="270"/>
  <c r="AE71" i="270"/>
  <c r="Z73" i="270" s="1"/>
  <c r="Z62" i="270"/>
  <c r="V62" i="270"/>
  <c r="R62" i="270"/>
  <c r="N62" i="270"/>
  <c r="Z61" i="270"/>
  <c r="V61" i="270"/>
  <c r="R61" i="270"/>
  <c r="N61" i="270"/>
  <c r="J61" i="270"/>
  <c r="J60" i="270"/>
  <c r="Q43" i="270"/>
  <c r="Q42" i="270"/>
  <c r="L42" i="270"/>
  <c r="Q41" i="270"/>
  <c r="L41" i="270"/>
  <c r="Q40" i="270"/>
  <c r="L40" i="270"/>
  <c r="L39" i="270"/>
  <c r="AE24" i="270"/>
  <c r="N24" i="270"/>
  <c r="I24" i="270"/>
  <c r="X17" i="270"/>
  <c r="X16" i="270"/>
  <c r="X15" i="270"/>
  <c r="X14" i="270"/>
  <c r="X13" i="270"/>
  <c r="AD61" i="270" l="1"/>
  <c r="N60" i="270"/>
  <c r="R60" i="270"/>
  <c r="AD62" i="270"/>
  <c r="V60" i="270"/>
  <c r="J62" i="270"/>
  <c r="O73" i="270"/>
  <c r="X73" i="270"/>
  <c r="H73" i="270"/>
  <c r="R73" i="270"/>
  <c r="I108" i="269"/>
  <c r="S108" i="269"/>
  <c r="AD100" i="269"/>
  <c r="AD99" i="269"/>
  <c r="AD97" i="269"/>
  <c r="AD96" i="269"/>
  <c r="AD94" i="269"/>
  <c r="AD92" i="269"/>
  <c r="AA87" i="269"/>
  <c r="Z58" i="269"/>
  <c r="V58" i="269"/>
  <c r="R58" i="269"/>
  <c r="N58" i="269"/>
  <c r="J58" i="269"/>
  <c r="I18" i="269"/>
  <c r="V8" i="269"/>
  <c r="X108" i="269" l="1"/>
  <c r="X108" i="268"/>
  <c r="N108" i="269"/>
  <c r="D108" i="269"/>
  <c r="Z97" i="269"/>
  <c r="Z98" i="269"/>
  <c r="Z99" i="269"/>
  <c r="Z96" i="269"/>
  <c r="Z95" i="269"/>
  <c r="Z94" i="269"/>
  <c r="Z93" i="269"/>
  <c r="Z92" i="269"/>
  <c r="Z100" i="269"/>
  <c r="AA86" i="269"/>
  <c r="J57" i="269"/>
  <c r="AE38" i="269"/>
  <c r="Q43" i="269"/>
  <c r="Q42" i="269"/>
  <c r="Q41" i="269"/>
  <c r="Q40" i="269"/>
  <c r="Q39" i="269"/>
  <c r="AC49" i="269"/>
  <c r="AC48" i="269"/>
  <c r="AC47" i="269"/>
  <c r="AC46" i="269"/>
  <c r="AC45" i="269"/>
  <c r="AC44" i="269"/>
  <c r="AC43" i="269"/>
  <c r="AC42" i="269"/>
  <c r="AC41" i="269"/>
  <c r="AC40" i="269"/>
  <c r="AC39" i="269"/>
  <c r="W49" i="269"/>
  <c r="W48" i="269"/>
  <c r="W47" i="269"/>
  <c r="W46" i="269"/>
  <c r="W45" i="269"/>
  <c r="W44" i="269"/>
  <c r="W43" i="269"/>
  <c r="W42" i="269"/>
  <c r="W41" i="269"/>
  <c r="W40" i="269"/>
  <c r="W39" i="269"/>
  <c r="Y38" i="269"/>
  <c r="S38" i="269"/>
  <c r="N38" i="269"/>
  <c r="I38" i="269"/>
  <c r="D38" i="269"/>
  <c r="N18" i="269"/>
  <c r="X18" i="269"/>
  <c r="AC108" i="269"/>
  <c r="AC105" i="269"/>
  <c r="V100" i="269"/>
  <c r="N100" i="269"/>
  <c r="V99" i="269"/>
  <c r="N99" i="269"/>
  <c r="V98" i="269"/>
  <c r="N98" i="269"/>
  <c r="V97" i="269"/>
  <c r="N97" i="269"/>
  <c r="V96" i="269"/>
  <c r="N95" i="269"/>
  <c r="V94" i="269"/>
  <c r="N94" i="269"/>
  <c r="V93" i="269"/>
  <c r="N93" i="269"/>
  <c r="V92" i="269"/>
  <c r="N92" i="269"/>
  <c r="V87" i="269"/>
  <c r="Q87" i="269"/>
  <c r="L87" i="269"/>
  <c r="G86" i="269"/>
  <c r="T82" i="269"/>
  <c r="T81" i="269"/>
  <c r="T80" i="269"/>
  <c r="T79" i="269"/>
  <c r="T78" i="269"/>
  <c r="AC73" i="269"/>
  <c r="Z73" i="269"/>
  <c r="V73" i="269"/>
  <c r="T73" i="269"/>
  <c r="R73" i="269"/>
  <c r="M73" i="269"/>
  <c r="K73" i="269"/>
  <c r="H73" i="269"/>
  <c r="AE71" i="269"/>
  <c r="X73" i="269" s="1"/>
  <c r="AE69" i="269"/>
  <c r="AE67" i="269"/>
  <c r="V62" i="269"/>
  <c r="R62" i="269"/>
  <c r="N62" i="269"/>
  <c r="Z61" i="269"/>
  <c r="V61" i="269"/>
  <c r="R61" i="269"/>
  <c r="N61" i="269"/>
  <c r="AD59" i="269"/>
  <c r="V60" i="269" s="1"/>
  <c r="Z62" i="269"/>
  <c r="J61" i="269"/>
  <c r="L42" i="269"/>
  <c r="L41" i="269"/>
  <c r="L40" i="269"/>
  <c r="L39" i="269"/>
  <c r="AE24" i="269"/>
  <c r="N24" i="269"/>
  <c r="I24" i="269"/>
  <c r="X17" i="269"/>
  <c r="X16" i="269"/>
  <c r="X15" i="269"/>
  <c r="X14" i="269"/>
  <c r="X13" i="269"/>
  <c r="AD61" i="269" l="1"/>
  <c r="R60" i="269"/>
  <c r="J60" i="269"/>
  <c r="N60" i="269"/>
  <c r="J62" i="269"/>
  <c r="O73" i="269"/>
  <c r="AD57" i="269"/>
  <c r="Q43" i="268"/>
  <c r="Q39" i="268"/>
  <c r="L42" i="268"/>
  <c r="AD62" i="269" l="1"/>
  <c r="AD96" i="268"/>
  <c r="AD94" i="268"/>
  <c r="AD92" i="268"/>
  <c r="AA87" i="268"/>
  <c r="AD57" i="268"/>
  <c r="S108" i="268"/>
  <c r="I108" i="268"/>
  <c r="D108" i="268"/>
  <c r="AC49" i="268" l="1"/>
  <c r="AC48" i="268"/>
  <c r="AC47" i="268"/>
  <c r="AC46" i="268"/>
  <c r="AC43" i="268"/>
  <c r="AC42" i="268"/>
  <c r="AC44" i="268"/>
  <c r="AC45" i="268"/>
  <c r="AC41" i="268"/>
  <c r="AC40" i="268"/>
  <c r="AC39" i="268"/>
  <c r="W49" i="268"/>
  <c r="W48" i="268"/>
  <c r="W47" i="268"/>
  <c r="W46" i="268"/>
  <c r="W45" i="268"/>
  <c r="W44" i="268"/>
  <c r="W43" i="268"/>
  <c r="W42" i="268"/>
  <c r="W41" i="268"/>
  <c r="W40" i="268"/>
  <c r="W39" i="268"/>
  <c r="Y38" i="268"/>
  <c r="S38" i="268"/>
  <c r="N38" i="268"/>
  <c r="I38" i="268"/>
  <c r="D38" i="268"/>
  <c r="Z58" i="268"/>
  <c r="V58" i="268"/>
  <c r="R58" i="268"/>
  <c r="N58" i="268"/>
  <c r="J58" i="268"/>
  <c r="Z57" i="268"/>
  <c r="J57" i="268"/>
  <c r="V60" i="268"/>
  <c r="R60" i="268"/>
  <c r="N60" i="268"/>
  <c r="J60" i="268"/>
  <c r="AD59" i="268"/>
  <c r="AD97" i="268"/>
  <c r="AD100" i="268"/>
  <c r="AD99" i="268"/>
  <c r="AD98" i="268"/>
  <c r="Z100" i="268"/>
  <c r="Z97" i="268"/>
  <c r="Z98" i="268"/>
  <c r="Z99" i="268"/>
  <c r="Z96" i="268"/>
  <c r="Z95" i="268"/>
  <c r="Z94" i="268"/>
  <c r="Z93" i="268"/>
  <c r="Z92" i="268"/>
  <c r="AA86" i="268"/>
  <c r="AC108" i="268"/>
  <c r="N108" i="268"/>
  <c r="AC105" i="268"/>
  <c r="V100" i="268"/>
  <c r="N100" i="268"/>
  <c r="V99" i="268"/>
  <c r="N99" i="268"/>
  <c r="V98" i="268"/>
  <c r="N98" i="268"/>
  <c r="V97" i="268"/>
  <c r="N97" i="268"/>
  <c r="V96" i="268"/>
  <c r="N95" i="268"/>
  <c r="V94" i="268"/>
  <c r="N94" i="268"/>
  <c r="V93" i="268"/>
  <c r="N93" i="268"/>
  <c r="V92" i="268"/>
  <c r="N92" i="268"/>
  <c r="V87" i="268"/>
  <c r="Q87" i="268"/>
  <c r="L87" i="268"/>
  <c r="G86" i="268"/>
  <c r="T82" i="268"/>
  <c r="T81" i="268"/>
  <c r="T80" i="268"/>
  <c r="T79" i="268"/>
  <c r="T78" i="268"/>
  <c r="AC73" i="268"/>
  <c r="T73" i="268"/>
  <c r="K73" i="268"/>
  <c r="H73" i="268"/>
  <c r="AE71" i="268"/>
  <c r="Z73" i="268" s="1"/>
  <c r="AE69" i="268"/>
  <c r="AE67" i="268"/>
  <c r="Z62" i="268"/>
  <c r="V62" i="268"/>
  <c r="R62" i="268"/>
  <c r="N62" i="268"/>
  <c r="Z61" i="268"/>
  <c r="V61" i="268"/>
  <c r="R61" i="268"/>
  <c r="N61" i="268"/>
  <c r="J61" i="268"/>
  <c r="AD61" i="268" s="1"/>
  <c r="L41" i="268"/>
  <c r="L40" i="268"/>
  <c r="L39" i="268"/>
  <c r="AE38" i="268"/>
  <c r="AE24" i="268"/>
  <c r="N24" i="268"/>
  <c r="I24" i="268"/>
  <c r="X18" i="268"/>
  <c r="X17" i="268"/>
  <c r="X16" i="268"/>
  <c r="X15" i="268"/>
  <c r="X14" i="268"/>
  <c r="X13" i="268"/>
  <c r="V8" i="268"/>
  <c r="J62" i="268" l="1"/>
  <c r="M73" i="268"/>
  <c r="V73" i="268"/>
  <c r="O73" i="268"/>
  <c r="X73" i="268"/>
  <c r="R73" i="268"/>
  <c r="X14" i="267"/>
  <c r="V60" i="266"/>
  <c r="R60" i="266"/>
  <c r="N60" i="266"/>
  <c r="J60" i="266"/>
  <c r="AD59" i="267"/>
  <c r="R60" i="267" s="1"/>
  <c r="Z58" i="267"/>
  <c r="V58" i="267"/>
  <c r="R58" i="267"/>
  <c r="N58" i="267"/>
  <c r="J58" i="267"/>
  <c r="AD62" i="268" l="1"/>
  <c r="J60" i="267"/>
  <c r="V60" i="267"/>
  <c r="N60" i="267"/>
  <c r="AE69" i="267"/>
  <c r="AE67" i="267"/>
  <c r="AD57" i="267"/>
  <c r="AE38" i="267"/>
  <c r="W49" i="267" l="1"/>
  <c r="W48" i="267"/>
  <c r="W47" i="267"/>
  <c r="W46" i="267"/>
  <c r="W45" i="267"/>
  <c r="W44" i="267"/>
  <c r="W43" i="267"/>
  <c r="W42" i="267"/>
  <c r="W41" i="267"/>
  <c r="W40" i="267"/>
  <c r="W39" i="267"/>
  <c r="AC48" i="267"/>
  <c r="AC39" i="267"/>
  <c r="Y38" i="267"/>
  <c r="S38" i="267"/>
  <c r="X108" i="267" l="1"/>
  <c r="N108" i="267"/>
  <c r="I108" i="267"/>
  <c r="D108" i="267"/>
  <c r="Z100" i="267"/>
  <c r="Z99" i="267"/>
  <c r="Z98" i="267"/>
  <c r="Z97" i="267"/>
  <c r="Z96" i="267"/>
  <c r="Z95" i="267"/>
  <c r="Z94" i="267"/>
  <c r="Z93" i="267"/>
  <c r="Z92" i="267"/>
  <c r="AA87" i="267"/>
  <c r="V87" i="267"/>
  <c r="AA86" i="267"/>
  <c r="K73" i="267"/>
  <c r="H73" i="267"/>
  <c r="L42" i="267"/>
  <c r="L41" i="267"/>
  <c r="L40" i="267"/>
  <c r="L39" i="267"/>
  <c r="N38" i="267"/>
  <c r="I38" i="267"/>
  <c r="D38" i="267"/>
  <c r="AC49" i="267"/>
  <c r="AC47" i="267"/>
  <c r="AC46" i="267"/>
  <c r="AC45" i="267"/>
  <c r="AC44" i="267"/>
  <c r="AC43" i="267"/>
  <c r="AC42" i="267"/>
  <c r="AC41" i="267"/>
  <c r="AC40" i="267"/>
  <c r="N18" i="267" l="1"/>
  <c r="I18" i="267"/>
  <c r="X18" i="267" s="1"/>
  <c r="AC108" i="267"/>
  <c r="AC105" i="267"/>
  <c r="AD100" i="267"/>
  <c r="V100" i="267"/>
  <c r="N100" i="267"/>
  <c r="AD99" i="267"/>
  <c r="V99" i="267"/>
  <c r="N99" i="267"/>
  <c r="AD98" i="267"/>
  <c r="V98" i="267"/>
  <c r="N98" i="267"/>
  <c r="V97" i="267"/>
  <c r="N97" i="267"/>
  <c r="AD96" i="267"/>
  <c r="V96" i="267"/>
  <c r="N95" i="267"/>
  <c r="AD94" i="267"/>
  <c r="V94" i="267"/>
  <c r="N94" i="267"/>
  <c r="AD93" i="267"/>
  <c r="V93" i="267"/>
  <c r="N93" i="267"/>
  <c r="AD92" i="267"/>
  <c r="V92" i="267"/>
  <c r="N92" i="267"/>
  <c r="Q87" i="267"/>
  <c r="L87" i="267"/>
  <c r="G86" i="267"/>
  <c r="T82" i="267"/>
  <c r="T81" i="267"/>
  <c r="T80" i="267"/>
  <c r="T79" i="267"/>
  <c r="T78" i="267"/>
  <c r="AC73" i="267"/>
  <c r="V73" i="267"/>
  <c r="T73" i="267"/>
  <c r="M73" i="267"/>
  <c r="AE71" i="267"/>
  <c r="Z73" i="267" s="1"/>
  <c r="Z62" i="267"/>
  <c r="V62" i="267"/>
  <c r="R62" i="267"/>
  <c r="N62" i="267"/>
  <c r="J62" i="267"/>
  <c r="Z61" i="267"/>
  <c r="V61" i="267"/>
  <c r="R61" i="267"/>
  <c r="N61" i="267"/>
  <c r="J61" i="267"/>
  <c r="AE24" i="267"/>
  <c r="N24" i="267"/>
  <c r="I24" i="267"/>
  <c r="X17" i="267"/>
  <c r="X16" i="267"/>
  <c r="X15" i="267"/>
  <c r="X13" i="267"/>
  <c r="V8" i="267"/>
  <c r="AD61" i="267" l="1"/>
  <c r="AD62" i="267"/>
  <c r="O73" i="267"/>
  <c r="X73" i="267"/>
  <c r="R73" i="267"/>
  <c r="AD59" i="266"/>
  <c r="AD57" i="266"/>
  <c r="Z61" i="266"/>
  <c r="N61" i="266"/>
  <c r="V58" i="266" l="1"/>
  <c r="N58" i="266"/>
  <c r="V87" i="266"/>
  <c r="AD100" i="266" l="1"/>
  <c r="AD97" i="266"/>
  <c r="AD96" i="266"/>
  <c r="AD93" i="266"/>
  <c r="AD94" i="266"/>
  <c r="V92" i="266" l="1"/>
  <c r="V93" i="266"/>
  <c r="V94" i="266"/>
  <c r="V96" i="266"/>
  <c r="V97" i="266"/>
  <c r="V98" i="266"/>
  <c r="V99" i="266"/>
  <c r="V100" i="266"/>
  <c r="N99" i="266"/>
  <c r="N98" i="266"/>
  <c r="N97" i="266"/>
  <c r="N93" i="266"/>
  <c r="N92" i="266"/>
  <c r="AD92" i="266"/>
  <c r="N100" i="266"/>
  <c r="N95" i="266"/>
  <c r="N94" i="266"/>
  <c r="Q87" i="266"/>
  <c r="L87" i="266"/>
  <c r="G86" i="266"/>
  <c r="AE24" i="266" l="1"/>
  <c r="N24" i="266"/>
  <c r="I24" i="266"/>
  <c r="X18" i="266"/>
  <c r="AC108" i="266"/>
  <c r="AC105" i="266"/>
  <c r="AD99" i="266"/>
  <c r="AD98" i="266"/>
  <c r="T82" i="266"/>
  <c r="T81" i="266"/>
  <c r="T80" i="266"/>
  <c r="T79" i="266"/>
  <c r="T78" i="266"/>
  <c r="Z73" i="266"/>
  <c r="AE71" i="266"/>
  <c r="X73" i="266" s="1"/>
  <c r="AE69" i="266"/>
  <c r="AE67" i="266"/>
  <c r="Z62" i="266"/>
  <c r="V62" i="266"/>
  <c r="R62" i="266"/>
  <c r="N62" i="266"/>
  <c r="J62" i="266"/>
  <c r="V61" i="266"/>
  <c r="R61" i="266"/>
  <c r="J61" i="266"/>
  <c r="AE38" i="266"/>
  <c r="X17" i="266"/>
  <c r="X16" i="266"/>
  <c r="X15" i="266"/>
  <c r="X14" i="266"/>
  <c r="X13" i="266"/>
  <c r="V8" i="266"/>
  <c r="AD61" i="266" l="1"/>
  <c r="R58" i="266"/>
  <c r="AD62" i="266"/>
  <c r="H73" i="266"/>
  <c r="R73" i="266"/>
  <c r="K73" i="266"/>
  <c r="T73" i="266"/>
  <c r="AC73" i="266"/>
  <c r="M73" i="266"/>
  <c r="V73" i="266"/>
  <c r="O73" i="266"/>
  <c r="AD92" i="265"/>
  <c r="N60" i="265"/>
  <c r="V60" i="265"/>
  <c r="R60" i="265"/>
  <c r="AA87" i="265" l="1"/>
  <c r="N38" i="265"/>
  <c r="I38" i="265"/>
  <c r="AC108" i="265" l="1"/>
  <c r="AC105" i="265"/>
  <c r="V100" i="265"/>
  <c r="AD99" i="265"/>
  <c r="V99" i="265"/>
  <c r="N99" i="265"/>
  <c r="AD98" i="265"/>
  <c r="V98" i="265"/>
  <c r="N98" i="265"/>
  <c r="AD97" i="265"/>
  <c r="V97" i="265"/>
  <c r="N97" i="265"/>
  <c r="V95" i="265"/>
  <c r="N95" i="265"/>
  <c r="AD94" i="265"/>
  <c r="V94" i="265"/>
  <c r="N94" i="265"/>
  <c r="AD93" i="265"/>
  <c r="V93" i="265"/>
  <c r="N93" i="265"/>
  <c r="V92" i="265"/>
  <c r="N92" i="265"/>
  <c r="V87" i="265"/>
  <c r="Q87" i="265"/>
  <c r="L86" i="265"/>
  <c r="T82" i="265"/>
  <c r="T81" i="265"/>
  <c r="T80" i="265"/>
  <c r="T79" i="265"/>
  <c r="T78" i="265"/>
  <c r="AC73" i="265"/>
  <c r="Z73" i="265"/>
  <c r="V73" i="265"/>
  <c r="T73" i="265"/>
  <c r="R73" i="265"/>
  <c r="M73" i="265"/>
  <c r="K73" i="265"/>
  <c r="H73" i="265"/>
  <c r="AE71" i="265"/>
  <c r="X73" i="265" s="1"/>
  <c r="AE69" i="265"/>
  <c r="AE67" i="265"/>
  <c r="Z62" i="265"/>
  <c r="V62" i="265"/>
  <c r="R62" i="265"/>
  <c r="N62" i="265"/>
  <c r="J62" i="265"/>
  <c r="Z61" i="265"/>
  <c r="V61" i="265"/>
  <c r="R61" i="265"/>
  <c r="N61" i="265"/>
  <c r="J61" i="265"/>
  <c r="AD59" i="265"/>
  <c r="AD57" i="265"/>
  <c r="V58" i="265" s="1"/>
  <c r="AE38" i="265"/>
  <c r="AE24" i="265"/>
  <c r="Y24" i="265"/>
  <c r="S24" i="265"/>
  <c r="N24" i="265"/>
  <c r="I24" i="265"/>
  <c r="X18" i="265"/>
  <c r="X17" i="265"/>
  <c r="X16" i="265"/>
  <c r="X15" i="265"/>
  <c r="X14" i="265"/>
  <c r="X13" i="265"/>
  <c r="V8" i="265"/>
  <c r="R58" i="265" l="1"/>
  <c r="AD62" i="265"/>
  <c r="AD61" i="265"/>
  <c r="J58" i="265"/>
  <c r="N58" i="265"/>
  <c r="J60" i="265"/>
  <c r="O73" i="265"/>
</calcChain>
</file>

<file path=xl/sharedStrings.xml><?xml version="1.0" encoding="utf-8"?>
<sst xmlns="http://schemas.openxmlformats.org/spreadsheetml/2006/main" count="2823" uniqueCount="241">
  <si>
    <t>親族援助</t>
    <phoneticPr fontId="9"/>
  </si>
  <si>
    <t>９　ホ－ムレス開始廃止等世帯数</t>
    <phoneticPr fontId="9"/>
  </si>
  <si>
    <t>失踪</t>
    <rPh sb="0" eb="2">
      <t>シッソウ</t>
    </rPh>
    <phoneticPr fontId="9"/>
  </si>
  <si>
    <t>失踪</t>
    <phoneticPr fontId="9"/>
  </si>
  <si>
    <t>死亡</t>
    <rPh sb="0" eb="2">
      <t>シボウ</t>
    </rPh>
    <phoneticPr fontId="9"/>
  </si>
  <si>
    <t>２  生活保護世帯数の状況</t>
  </si>
  <si>
    <t>厚木市の生活保護の動向</t>
  </si>
  <si>
    <t>　</t>
  </si>
  <si>
    <t>人</t>
  </si>
  <si>
    <t>世帯数</t>
  </si>
  <si>
    <t>世帯</t>
  </si>
  <si>
    <t>（１世帯当たり</t>
  </si>
  <si>
    <t>人）</t>
  </si>
  <si>
    <t>ＣＷ数
（人）</t>
  </si>
  <si>
    <t>区分</t>
  </si>
  <si>
    <t>申　請</t>
  </si>
  <si>
    <t>申請取下げ</t>
  </si>
  <si>
    <t>申請却下</t>
  </si>
  <si>
    <t>保護開始</t>
  </si>
  <si>
    <t>保護廃止</t>
  </si>
  <si>
    <t>増加世帯数</t>
  </si>
  <si>
    <t>理由</t>
  </si>
  <si>
    <t>資産判明</t>
  </si>
  <si>
    <t>傷病</t>
  </si>
  <si>
    <t>その他</t>
  </si>
  <si>
    <t>区　分</t>
  </si>
  <si>
    <t>項　目</t>
  </si>
  <si>
    <t>母子世帯</t>
  </si>
  <si>
    <t>その他世帯</t>
  </si>
  <si>
    <t>合　計</t>
  </si>
  <si>
    <t>構成比</t>
  </si>
  <si>
    <t>増減</t>
  </si>
  <si>
    <t>増減率</t>
  </si>
  <si>
    <t>（単位：千円）</t>
  </si>
  <si>
    <t>年　　度</t>
  </si>
  <si>
    <t>予　　　　　算</t>
  </si>
  <si>
    <t>決算額</t>
  </si>
  <si>
    <t>当　初</t>
  </si>
  <si>
    <t>補　正</t>
  </si>
  <si>
    <t>最　終</t>
  </si>
  <si>
    <t>（金額単位：千円）</t>
  </si>
  <si>
    <t>生活
扶助</t>
  </si>
  <si>
    <t>住宅
扶助</t>
  </si>
  <si>
    <t>教育
扶助</t>
  </si>
  <si>
    <t>介護
扶助</t>
  </si>
  <si>
    <t>医療
扶助</t>
  </si>
  <si>
    <t>出産
扶助</t>
  </si>
  <si>
    <t>生業
扶助</t>
  </si>
  <si>
    <t>葬祭
扶助</t>
  </si>
  <si>
    <t>７  相談件数状況</t>
  </si>
  <si>
    <t>内　訳</t>
  </si>
  <si>
    <t>件　数</t>
  </si>
  <si>
    <t>病　　　気</t>
  </si>
  <si>
    <t>収　入　減</t>
  </si>
  <si>
    <t>離　　　婚</t>
  </si>
  <si>
    <t>働き手の死亡等</t>
  </si>
  <si>
    <t>そ　の　他</t>
  </si>
  <si>
    <t>傷病・障害</t>
  </si>
  <si>
    <t>母　　　子</t>
  </si>
  <si>
    <t>高　齢　者</t>
  </si>
  <si>
    <t>その他</t>
    <rPh sb="2" eb="3">
      <t>タ</t>
    </rPh>
    <phoneticPr fontId="9"/>
  </si>
  <si>
    <t>就労</t>
    <rPh sb="0" eb="2">
      <t>シュウロウ</t>
    </rPh>
    <phoneticPr fontId="9"/>
  </si>
  <si>
    <t>資力認定</t>
    <rPh sb="0" eb="2">
      <t>シリョク</t>
    </rPh>
    <rPh sb="2" eb="4">
      <t>ニンテイ</t>
    </rPh>
    <phoneticPr fontId="9"/>
  </si>
  <si>
    <r>
      <t>８　相談の内訳</t>
    </r>
    <r>
      <rPr>
        <sz val="10"/>
        <rFont val="ＭＳ ゴシック"/>
        <family val="3"/>
        <charset val="128"/>
      </rPr>
      <t>（上記７「相談件数状況」の各区分別内訳）</t>
    </r>
    <rPh sb="8" eb="10">
      <t>ジョウキ</t>
    </rPh>
    <rPh sb="12" eb="14">
      <t>ソウダン</t>
    </rPh>
    <rPh sb="14" eb="16">
      <t>ケンスウ</t>
    </rPh>
    <rPh sb="16" eb="18">
      <t>ジョウキョウ</t>
    </rPh>
    <rPh sb="20" eb="21">
      <t>カク</t>
    </rPh>
    <rPh sb="21" eb="23">
      <t>クブン</t>
    </rPh>
    <rPh sb="23" eb="24">
      <t>ベツ</t>
    </rPh>
    <rPh sb="24" eb="26">
      <t>ウチワケ</t>
    </rPh>
    <phoneticPr fontId="9"/>
  </si>
  <si>
    <t>　</t>
    <phoneticPr fontId="9"/>
  </si>
  <si>
    <t>人　口</t>
    <phoneticPr fontId="9"/>
  </si>
  <si>
    <t>１　厚木市の人口と世帯数</t>
    <rPh sb="2" eb="5">
      <t>アツギシ</t>
    </rPh>
    <phoneticPr fontId="13"/>
  </si>
  <si>
    <t>対　象　日</t>
    <rPh sb="0" eb="1">
      <t>タイ</t>
    </rPh>
    <rPh sb="2" eb="3">
      <t>ゾウ</t>
    </rPh>
    <rPh sb="4" eb="5">
      <t>ビ</t>
    </rPh>
    <phoneticPr fontId="13"/>
  </si>
  <si>
    <t>世帯数</t>
    <rPh sb="0" eb="3">
      <t>セタイスウ</t>
    </rPh>
    <phoneticPr fontId="13"/>
  </si>
  <si>
    <t>ＣＷ</t>
    <phoneticPr fontId="13"/>
  </si>
  <si>
    <t>区分</t>
    <phoneticPr fontId="13"/>
  </si>
  <si>
    <t>６  扶助費の支給状況</t>
    <phoneticPr fontId="9"/>
  </si>
  <si>
    <t>増減</t>
    <rPh sb="0" eb="2">
      <t>ゾウゲン</t>
    </rPh>
    <phoneticPr fontId="9"/>
  </si>
  <si>
    <t>(平成17年度から福祉行政報告例の数値により算出)</t>
    <rPh sb="1" eb="3">
      <t>ヘイセイ</t>
    </rPh>
    <rPh sb="5" eb="7">
      <t>ネンド</t>
    </rPh>
    <rPh sb="9" eb="11">
      <t>フクシ</t>
    </rPh>
    <rPh sb="11" eb="13">
      <t>ギョウセイ</t>
    </rPh>
    <rPh sb="13" eb="15">
      <t>ホウコク</t>
    </rPh>
    <rPh sb="15" eb="16">
      <t>レイ</t>
    </rPh>
    <rPh sb="17" eb="19">
      <t>スウチ</t>
    </rPh>
    <rPh sb="22" eb="24">
      <t>サンシュツ</t>
    </rPh>
    <phoneticPr fontId="9"/>
  </si>
  <si>
    <t>相談
理由</t>
    <phoneticPr fontId="9"/>
  </si>
  <si>
    <t>世帯
類型</t>
    <phoneticPr fontId="9"/>
  </si>
  <si>
    <t>件数／1箇月</t>
    <rPh sb="0" eb="2">
      <t>ケンスウ</t>
    </rPh>
    <rPh sb="4" eb="6">
      <t>カゲツ</t>
    </rPh>
    <phoneticPr fontId="9"/>
  </si>
  <si>
    <t>相談件数</t>
    <rPh sb="0" eb="1">
      <t>ソウ</t>
    </rPh>
    <rPh sb="1" eb="2">
      <t>ダン</t>
    </rPh>
    <rPh sb="2" eb="3">
      <t>ケン</t>
    </rPh>
    <rPh sb="3" eb="4">
      <t>スウ</t>
    </rPh>
    <phoneticPr fontId="9"/>
  </si>
  <si>
    <t>年　度</t>
    <phoneticPr fontId="9"/>
  </si>
  <si>
    <t>うち外国人</t>
    <rPh sb="2" eb="4">
      <t>ガイコク</t>
    </rPh>
    <rPh sb="4" eb="5">
      <t>ジン</t>
    </rPh>
    <phoneticPr fontId="9"/>
  </si>
  <si>
    <t>預貯金減</t>
    <rPh sb="0" eb="3">
      <t>ヨチョキン</t>
    </rPh>
    <rPh sb="3" eb="4">
      <t>ゲン</t>
    </rPh>
    <phoneticPr fontId="9"/>
  </si>
  <si>
    <t>保護率
（‰）</t>
    <phoneticPr fontId="9"/>
  </si>
  <si>
    <t>計
（延数）</t>
    <rPh sb="3" eb="4">
      <t>ノ</t>
    </rPh>
    <rPh sb="4" eb="5">
      <t>スウ</t>
    </rPh>
    <phoneticPr fontId="9"/>
  </si>
  <si>
    <t>高齢者世帯</t>
    <rPh sb="2" eb="3">
      <t>モノ</t>
    </rPh>
    <phoneticPr fontId="9"/>
  </si>
  <si>
    <t>障害者世帯</t>
    <rPh sb="2" eb="3">
      <t>モノ</t>
    </rPh>
    <phoneticPr fontId="9"/>
  </si>
  <si>
    <t>傷病者世帯</t>
    <rPh sb="2" eb="3">
      <t>モノ</t>
    </rPh>
    <phoneticPr fontId="9"/>
  </si>
  <si>
    <t>世帯数</t>
    <phoneticPr fontId="2"/>
  </si>
  <si>
    <t>人員</t>
    <phoneticPr fontId="2"/>
  </si>
  <si>
    <t>※4月1日現在</t>
    <rPh sb="2" eb="3">
      <t>ガツ</t>
    </rPh>
    <rPh sb="4" eb="5">
      <t>ニチ</t>
    </rPh>
    <rPh sb="5" eb="7">
      <t>ゲンザイ</t>
    </rPh>
    <phoneticPr fontId="9"/>
  </si>
  <si>
    <t>※5月1日現在</t>
    <rPh sb="2" eb="3">
      <t>ガツ</t>
    </rPh>
    <rPh sb="4" eb="5">
      <t>ニチ</t>
    </rPh>
    <rPh sb="5" eb="7">
      <t>ゲンザイ</t>
    </rPh>
    <phoneticPr fontId="9"/>
  </si>
  <si>
    <t>要介護</t>
    <rPh sb="0" eb="1">
      <t>ヨウ</t>
    </rPh>
    <rPh sb="1" eb="3">
      <t>カイゴ</t>
    </rPh>
    <phoneticPr fontId="9"/>
  </si>
  <si>
    <t>死亡・離別</t>
    <rPh sb="0" eb="2">
      <t>シボウ</t>
    </rPh>
    <rPh sb="3" eb="5">
      <t>リベツ</t>
    </rPh>
    <phoneticPr fontId="9"/>
  </si>
  <si>
    <t>失業</t>
    <rPh sb="0" eb="2">
      <t>シツギョウ</t>
    </rPh>
    <phoneticPr fontId="9"/>
  </si>
  <si>
    <t>事業不振等</t>
    <rPh sb="0" eb="2">
      <t>ジギョウ</t>
    </rPh>
    <rPh sb="2" eb="4">
      <t>フシン</t>
    </rPh>
    <rPh sb="4" eb="5">
      <t>トウ</t>
    </rPh>
    <phoneticPr fontId="9"/>
  </si>
  <si>
    <t>老齢収入減</t>
    <rPh sb="0" eb="2">
      <t>ロウレイ</t>
    </rPh>
    <rPh sb="2" eb="4">
      <t>シュウニュウ</t>
    </rPh>
    <rPh sb="4" eb="5">
      <t>ゲン</t>
    </rPh>
    <phoneticPr fontId="9"/>
  </si>
  <si>
    <t>就労収入減</t>
    <rPh sb="0" eb="2">
      <t>シュウロウ</t>
    </rPh>
    <rPh sb="2" eb="4">
      <t>シュウニュウ</t>
    </rPh>
    <rPh sb="4" eb="5">
      <t>ゲン</t>
    </rPh>
    <phoneticPr fontId="9"/>
  </si>
  <si>
    <t>社会保障減</t>
    <rPh sb="0" eb="2">
      <t>シャカイ</t>
    </rPh>
    <rPh sb="2" eb="4">
      <t>ホショウ</t>
    </rPh>
    <rPh sb="4" eb="5">
      <t>ゲン</t>
    </rPh>
    <phoneticPr fontId="9"/>
  </si>
  <si>
    <t>傷病治癒</t>
    <phoneticPr fontId="9"/>
  </si>
  <si>
    <t>就労収入増</t>
    <rPh sb="0" eb="2">
      <t>シュウロウ</t>
    </rPh>
    <rPh sb="2" eb="4">
      <t>シュウニュウ</t>
    </rPh>
    <rPh sb="4" eb="5">
      <t>ゾウ</t>
    </rPh>
    <phoneticPr fontId="9"/>
  </si>
  <si>
    <t>働き手の転入</t>
    <rPh sb="0" eb="1">
      <t>ハタラ</t>
    </rPh>
    <rPh sb="2" eb="3">
      <t>テ</t>
    </rPh>
    <rPh sb="4" eb="6">
      <t>テンニュウ</t>
    </rPh>
    <phoneticPr fontId="9"/>
  </si>
  <si>
    <t>社会保障増</t>
    <rPh sb="0" eb="2">
      <t>シャカイ</t>
    </rPh>
    <rPh sb="2" eb="4">
      <t>ホショウ</t>
    </rPh>
    <rPh sb="4" eb="5">
      <t>ゾウ</t>
    </rPh>
    <phoneticPr fontId="9"/>
  </si>
  <si>
    <t>仕送等増</t>
    <rPh sb="0" eb="2">
      <t>シオクリ</t>
    </rPh>
    <rPh sb="2" eb="3">
      <t>トウ</t>
    </rPh>
    <rPh sb="3" eb="4">
      <t>ゾウ</t>
    </rPh>
    <phoneticPr fontId="9"/>
  </si>
  <si>
    <t>仕送等減</t>
    <rPh sb="0" eb="2">
      <t>シオクリ</t>
    </rPh>
    <rPh sb="2" eb="3">
      <t>トウ</t>
    </rPh>
    <rPh sb="3" eb="4">
      <t>ゲン</t>
    </rPh>
    <phoneticPr fontId="9"/>
  </si>
  <si>
    <t>親族等引取り</t>
    <rPh sb="0" eb="2">
      <t>シンゾク</t>
    </rPh>
    <rPh sb="2" eb="3">
      <t>トウ</t>
    </rPh>
    <rPh sb="3" eb="5">
      <t>ヒキト</t>
    </rPh>
    <phoneticPr fontId="9"/>
  </si>
  <si>
    <t>施設入所</t>
    <rPh sb="0" eb="2">
      <t>シセツ</t>
    </rPh>
    <rPh sb="2" eb="4">
      <t>ニュウショ</t>
    </rPh>
    <phoneticPr fontId="9"/>
  </si>
  <si>
    <t>移管（転出）</t>
    <rPh sb="0" eb="2">
      <t>イカン</t>
    </rPh>
    <rPh sb="3" eb="5">
      <t>テンシュツ</t>
    </rPh>
    <phoneticPr fontId="9"/>
  </si>
  <si>
    <t>※6月1日現在</t>
    <rPh sb="2" eb="3">
      <t>ガツ</t>
    </rPh>
    <rPh sb="4" eb="5">
      <t>ニチ</t>
    </rPh>
    <rPh sb="5" eb="7">
      <t>ゲンザイ</t>
    </rPh>
    <phoneticPr fontId="9"/>
  </si>
  <si>
    <r>
      <t>生活福祉課</t>
    </r>
    <r>
      <rPr>
        <b/>
        <sz val="6"/>
        <color rgb="FFFF0000"/>
        <rFont val="ＭＳ ゴシック"/>
        <family val="3"/>
        <charset val="128"/>
      </rPr>
      <t/>
    </r>
    <rPh sb="0" eb="2">
      <t>セイカツ</t>
    </rPh>
    <rPh sb="2" eb="4">
      <t>フクシ</t>
    </rPh>
    <rPh sb="4" eb="5">
      <t>カ</t>
    </rPh>
    <phoneticPr fontId="2"/>
  </si>
  <si>
    <t>人口等</t>
    <phoneticPr fontId="2"/>
  </si>
  <si>
    <t>（</t>
    <phoneticPr fontId="9"/>
  </si>
  <si>
    <t>５　保護の種類</t>
    <phoneticPr fontId="2"/>
  </si>
  <si>
    <t>現在）</t>
    <rPh sb="0" eb="2">
      <t>ゲンザイ</t>
    </rPh>
    <phoneticPr fontId="9"/>
  </si>
  <si>
    <r>
      <t xml:space="preserve">施設
</t>
    </r>
    <r>
      <rPr>
        <sz val="9"/>
        <rFont val="ＭＳ ゴシック"/>
        <family val="3"/>
        <charset val="128"/>
      </rPr>
      <t>事務費</t>
    </r>
    <phoneticPr fontId="9"/>
  </si>
  <si>
    <t>就労自立
給付金</t>
    <rPh sb="0" eb="2">
      <t>シュウロウ</t>
    </rPh>
    <rPh sb="2" eb="4">
      <t>ジリツ</t>
    </rPh>
    <rPh sb="5" eb="8">
      <t>キュウフキン</t>
    </rPh>
    <phoneticPr fontId="9"/>
  </si>
  <si>
    <t>※7月1日現在</t>
    <rPh sb="2" eb="3">
      <t>ガツ</t>
    </rPh>
    <rPh sb="4" eb="5">
      <t>ニチ</t>
    </rPh>
    <rPh sb="5" eb="7">
      <t>ゲンザイ</t>
    </rPh>
    <phoneticPr fontId="9"/>
  </si>
  <si>
    <t>※8月1日現在</t>
    <rPh sb="2" eb="3">
      <t>ガツ</t>
    </rPh>
    <rPh sb="4" eb="5">
      <t>ニチ</t>
    </rPh>
    <rPh sb="5" eb="7">
      <t>ゲンザイ</t>
    </rPh>
    <phoneticPr fontId="9"/>
  </si>
  <si>
    <t>※10月1日現在</t>
    <rPh sb="3" eb="4">
      <t>ガツ</t>
    </rPh>
    <rPh sb="5" eb="6">
      <t>ニチ</t>
    </rPh>
    <rPh sb="6" eb="8">
      <t>ゲンザイ</t>
    </rPh>
    <phoneticPr fontId="9"/>
  </si>
  <si>
    <t>※11月1日現在</t>
    <rPh sb="3" eb="4">
      <t>ガツ</t>
    </rPh>
    <rPh sb="5" eb="6">
      <t>ニチ</t>
    </rPh>
    <rPh sb="6" eb="8">
      <t>ゲンザイ</t>
    </rPh>
    <phoneticPr fontId="9"/>
  </si>
  <si>
    <t>※12月1日現在</t>
    <rPh sb="3" eb="4">
      <t>ガツ</t>
    </rPh>
    <rPh sb="5" eb="6">
      <t>ニチ</t>
    </rPh>
    <rPh sb="6" eb="8">
      <t>ゲンザイ</t>
    </rPh>
    <phoneticPr fontId="9"/>
  </si>
  <si>
    <t>※1月1日現在</t>
    <rPh sb="2" eb="3">
      <t>ガツ</t>
    </rPh>
    <rPh sb="4" eb="5">
      <t>ニチ</t>
    </rPh>
    <rPh sb="5" eb="7">
      <t>ゲンザイ</t>
    </rPh>
    <phoneticPr fontId="9"/>
  </si>
  <si>
    <t>※2月1日現在</t>
    <rPh sb="2" eb="3">
      <t>ガツ</t>
    </rPh>
    <rPh sb="4" eb="5">
      <t>ニチ</t>
    </rPh>
    <rPh sb="5" eb="7">
      <t>ゲンザイ</t>
    </rPh>
    <phoneticPr fontId="9"/>
  </si>
  <si>
    <t>※3月1日現在</t>
    <rPh sb="2" eb="3">
      <t>ガツ</t>
    </rPh>
    <rPh sb="4" eb="5">
      <t>ニチ</t>
    </rPh>
    <rPh sb="5" eb="7">
      <t>ゲンザイ</t>
    </rPh>
    <phoneticPr fontId="9"/>
  </si>
  <si>
    <t>平成29年4月1日現在</t>
    <phoneticPr fontId="9"/>
  </si>
  <si>
    <t>平成29年度</t>
    <rPh sb="0" eb="2">
      <t>ヘイセイ</t>
    </rPh>
    <rPh sb="4" eb="6">
      <t>ネンド</t>
    </rPh>
    <phoneticPr fontId="9"/>
  </si>
  <si>
    <t>３　開始廃止等世帯数</t>
    <phoneticPr fontId="13"/>
  </si>
  <si>
    <t>４　世帯類型</t>
    <phoneticPr fontId="9"/>
  </si>
  <si>
    <t>平成30年4月1日現在</t>
    <phoneticPr fontId="9"/>
  </si>
  <si>
    <t>平成30年度</t>
    <rPh sb="0" eb="2">
      <t>ヘイセイ</t>
    </rPh>
    <rPh sb="4" eb="6">
      <t>ネンド</t>
    </rPh>
    <phoneticPr fontId="9"/>
  </si>
  <si>
    <t>進学
準備金</t>
    <rPh sb="0" eb="2">
      <t>シンガク</t>
    </rPh>
    <rPh sb="3" eb="6">
      <t>ジュンビキン</t>
    </rPh>
    <phoneticPr fontId="9"/>
  </si>
  <si>
    <t>平成31年4月1日現在</t>
    <phoneticPr fontId="9"/>
  </si>
  <si>
    <t>利用世帯数
（世帯）</t>
    <rPh sb="0" eb="2">
      <t>リヨウ</t>
    </rPh>
    <rPh sb="2" eb="5">
      <t>セタイスウ</t>
    </rPh>
    <phoneticPr fontId="13"/>
  </si>
  <si>
    <t>利用者数
（人）</t>
    <rPh sb="0" eb="2">
      <t>リヨウ</t>
    </rPh>
    <rPh sb="2" eb="3">
      <t>シャ</t>
    </rPh>
    <rPh sb="3" eb="4">
      <t>スウ</t>
    </rPh>
    <phoneticPr fontId="13"/>
  </si>
  <si>
    <t>令和２年度</t>
    <rPh sb="0" eb="2">
      <t>レイワ</t>
    </rPh>
    <rPh sb="3" eb="4">
      <t>ネン</t>
    </rPh>
    <rPh sb="4" eb="5">
      <t>ド</t>
    </rPh>
    <phoneticPr fontId="9"/>
  </si>
  <si>
    <t>令和２年度</t>
    <rPh sb="0" eb="2">
      <t>レイワ</t>
    </rPh>
    <rPh sb="3" eb="5">
      <t>ネンド</t>
    </rPh>
    <phoneticPr fontId="9"/>
  </si>
  <si>
    <t>（10月1日～10月31日）</t>
    <rPh sb="3" eb="4">
      <t>ガツ</t>
    </rPh>
    <phoneticPr fontId="9"/>
  </si>
  <si>
    <t>（11月1日～11月30日）</t>
    <rPh sb="3" eb="4">
      <t>ガツ</t>
    </rPh>
    <phoneticPr fontId="9"/>
  </si>
  <si>
    <t>平成29年度</t>
  </si>
  <si>
    <t>平成30年度</t>
  </si>
  <si>
    <t>令和元年度</t>
    <rPh sb="0" eb="2">
      <t>レイワ</t>
    </rPh>
    <rPh sb="2" eb="4">
      <t>ガンネン</t>
    </rPh>
    <rPh sb="4" eb="5">
      <t>ド</t>
    </rPh>
    <phoneticPr fontId="9"/>
  </si>
  <si>
    <t>令和元年度</t>
    <rPh sb="0" eb="2">
      <t>レイワ</t>
    </rPh>
    <rPh sb="2" eb="3">
      <t>ガン</t>
    </rPh>
    <rPh sb="3" eb="5">
      <t>ネンド</t>
    </rPh>
    <phoneticPr fontId="9"/>
  </si>
  <si>
    <t>（12月1日～12月31日）</t>
    <rPh sb="3" eb="4">
      <t>ガツ</t>
    </rPh>
    <phoneticPr fontId="9"/>
  </si>
  <si>
    <t>（1月1日～1月31日）</t>
    <rPh sb="2" eb="3">
      <t>ガツ</t>
    </rPh>
    <phoneticPr fontId="9"/>
  </si>
  <si>
    <t>（3月1日～3月31日）</t>
    <rPh sb="2" eb="3">
      <t>ガツ</t>
    </rPh>
    <phoneticPr fontId="9"/>
  </si>
  <si>
    <t>　(1) 令和２年度（１年間）</t>
    <rPh sb="5" eb="7">
      <t>レイワ</t>
    </rPh>
    <rPh sb="12" eb="14">
      <t>ネンカン</t>
    </rPh>
    <phoneticPr fontId="2"/>
  </si>
  <si>
    <t>令和２年4月1日現在</t>
    <rPh sb="0" eb="2">
      <t>レイワ</t>
    </rPh>
    <phoneticPr fontId="9"/>
  </si>
  <si>
    <t>令和３年度</t>
    <rPh sb="0" eb="2">
      <t>レイワ</t>
    </rPh>
    <rPh sb="3" eb="4">
      <t>ネン</t>
    </rPh>
    <rPh sb="4" eb="5">
      <t>ド</t>
    </rPh>
    <phoneticPr fontId="9"/>
  </si>
  <si>
    <t>令和３年度</t>
    <rPh sb="0" eb="2">
      <t>レイワ</t>
    </rPh>
    <rPh sb="3" eb="5">
      <t>ネンド</t>
    </rPh>
    <phoneticPr fontId="9"/>
  </si>
  <si>
    <t>　(1) 令和２年度</t>
    <rPh sb="5" eb="7">
      <t>レイワ</t>
    </rPh>
    <rPh sb="8" eb="10">
      <t>ネンド</t>
    </rPh>
    <rPh sb="9" eb="10">
      <t>ド</t>
    </rPh>
    <phoneticPr fontId="9"/>
  </si>
  <si>
    <t>令和３年4月1日現在</t>
    <rPh sb="0" eb="2">
      <t>レイワ</t>
    </rPh>
    <phoneticPr fontId="9"/>
  </si>
  <si>
    <t>（5月1日～5月31日）</t>
    <rPh sb="2" eb="3">
      <t>ガツ</t>
    </rPh>
    <phoneticPr fontId="9"/>
  </si>
  <si>
    <t>令和３年
6月1日現在</t>
    <rPh sb="0" eb="2">
      <t>レイワ</t>
    </rPh>
    <rPh sb="6" eb="7">
      <t>ガツ</t>
    </rPh>
    <rPh sb="7" eb="9">
      <t>ツイタチ</t>
    </rPh>
    <rPh sb="8" eb="9">
      <t>ニチ</t>
    </rPh>
    <phoneticPr fontId="2"/>
  </si>
  <si>
    <t>（2月1日～2月28日）</t>
    <rPh sb="2" eb="3">
      <t>ガツ</t>
    </rPh>
    <phoneticPr fontId="9"/>
  </si>
  <si>
    <t>令和３年
7月1日現在</t>
    <rPh sb="0" eb="2">
      <t>レイワ</t>
    </rPh>
    <rPh sb="6" eb="7">
      <t>ガツ</t>
    </rPh>
    <rPh sb="7" eb="9">
      <t>ツイタチ</t>
    </rPh>
    <rPh sb="8" eb="9">
      <t>ニチ</t>
    </rPh>
    <phoneticPr fontId="2"/>
  </si>
  <si>
    <t>（7月1日～7月31日）</t>
    <rPh sb="2" eb="3">
      <t>ガツ</t>
    </rPh>
    <phoneticPr fontId="9"/>
  </si>
  <si>
    <t>令和３年
8月1日現在</t>
    <rPh sb="0" eb="2">
      <t>レイワ</t>
    </rPh>
    <rPh sb="6" eb="7">
      <t>ガツ</t>
    </rPh>
    <rPh sb="7" eb="9">
      <t>ツイタチ</t>
    </rPh>
    <rPh sb="8" eb="9">
      <t>ニチ</t>
    </rPh>
    <phoneticPr fontId="2"/>
  </si>
  <si>
    <t>令和３年
9月1日現在</t>
    <rPh sb="0" eb="2">
      <t>レイワ</t>
    </rPh>
    <rPh sb="6" eb="7">
      <t>ガツ</t>
    </rPh>
    <rPh sb="7" eb="9">
      <t>ツイタチ</t>
    </rPh>
    <rPh sb="8" eb="9">
      <t>ニチ</t>
    </rPh>
    <phoneticPr fontId="2"/>
  </si>
  <si>
    <t>（8月1日～8月31日）</t>
    <rPh sb="2" eb="3">
      <t>ガツ</t>
    </rPh>
    <phoneticPr fontId="9"/>
  </si>
  <si>
    <t>（9月1日～9月30日）</t>
    <rPh sb="2" eb="3">
      <t>ガツ</t>
    </rPh>
    <phoneticPr fontId="9"/>
  </si>
  <si>
    <t>令和３年
10月1日現在</t>
    <rPh sb="0" eb="2">
      <t>レイワ</t>
    </rPh>
    <rPh sb="7" eb="8">
      <t>ガツ</t>
    </rPh>
    <rPh sb="8" eb="10">
      <t>ツイタチ</t>
    </rPh>
    <rPh sb="9" eb="10">
      <t>ニチ</t>
    </rPh>
    <phoneticPr fontId="2"/>
  </si>
  <si>
    <t>２年度
決算額</t>
    <rPh sb="6" eb="7">
      <t>ガク</t>
    </rPh>
    <phoneticPr fontId="9"/>
  </si>
  <si>
    <t>令和３年
11月1日現在</t>
    <rPh sb="0" eb="2">
      <t>レイワ</t>
    </rPh>
    <rPh sb="7" eb="8">
      <t>ガツ</t>
    </rPh>
    <rPh sb="8" eb="10">
      <t>ツイタチ</t>
    </rPh>
    <rPh sb="9" eb="10">
      <t>ニチ</t>
    </rPh>
    <phoneticPr fontId="2"/>
  </si>
  <si>
    <t>令和３年
12月1日現在</t>
    <rPh sb="0" eb="2">
      <t>レイワ</t>
    </rPh>
    <rPh sb="7" eb="8">
      <t>ガツ</t>
    </rPh>
    <rPh sb="8" eb="10">
      <t>ツイタチ</t>
    </rPh>
    <rPh sb="9" eb="10">
      <t>ニチ</t>
    </rPh>
    <phoneticPr fontId="2"/>
  </si>
  <si>
    <t>令和４年
1月1日現在</t>
    <rPh sb="0" eb="2">
      <t>レイワ</t>
    </rPh>
    <rPh sb="6" eb="7">
      <t>ガツ</t>
    </rPh>
    <rPh sb="7" eb="9">
      <t>ツイタチ</t>
    </rPh>
    <rPh sb="8" eb="9">
      <t>ニチ</t>
    </rPh>
    <phoneticPr fontId="2"/>
  </si>
  <si>
    <t>令和４年
2月1日現在</t>
    <rPh sb="0" eb="2">
      <t>レイワ</t>
    </rPh>
    <rPh sb="6" eb="7">
      <t>ガツ</t>
    </rPh>
    <rPh sb="7" eb="9">
      <t>ツイタチ</t>
    </rPh>
    <rPh sb="8" eb="9">
      <t>ニチ</t>
    </rPh>
    <phoneticPr fontId="2"/>
  </si>
  <si>
    <t>令和４年
3月1日現在</t>
    <rPh sb="0" eb="2">
      <t>レイワ</t>
    </rPh>
    <rPh sb="6" eb="7">
      <t>ガツ</t>
    </rPh>
    <rPh sb="7" eb="9">
      <t>ツイタチ</t>
    </rPh>
    <rPh sb="8" eb="9">
      <t>ニチ</t>
    </rPh>
    <phoneticPr fontId="2"/>
  </si>
  <si>
    <r>
      <t>　(2) 令和３年度</t>
    </r>
    <r>
      <rPr>
        <sz val="12"/>
        <color rgb="FFFF0000"/>
        <rFont val="ＭＳ ゴシック"/>
        <family val="3"/>
        <charset val="128"/>
      </rPr>
      <t>（4月1日～3月31日）</t>
    </r>
    <rPh sb="5" eb="7">
      <t>レイワ</t>
    </rPh>
    <rPh sb="8" eb="9">
      <t>ネン</t>
    </rPh>
    <rPh sb="9" eb="10">
      <t>ド</t>
    </rPh>
    <rPh sb="12" eb="13">
      <t>ツキ</t>
    </rPh>
    <rPh sb="14" eb="15">
      <t>ヒ</t>
    </rPh>
    <rPh sb="17" eb="18">
      <t>ツキ</t>
    </rPh>
    <rPh sb="20" eb="21">
      <t>ヒ</t>
    </rPh>
    <phoneticPr fontId="9"/>
  </si>
  <si>
    <t>令和４年
4月1日現在</t>
    <rPh sb="0" eb="2">
      <t>レイワ</t>
    </rPh>
    <rPh sb="6" eb="7">
      <t>ガツ</t>
    </rPh>
    <rPh sb="7" eb="9">
      <t>ツイタチ</t>
    </rPh>
    <rPh sb="8" eb="9">
      <t>ニチ</t>
    </rPh>
    <phoneticPr fontId="2"/>
  </si>
  <si>
    <t>令和３年
4月1日現在</t>
    <rPh sb="0" eb="2">
      <t>レイワ</t>
    </rPh>
    <rPh sb="3" eb="4">
      <t>ネン</t>
    </rPh>
    <rPh sb="6" eb="7">
      <t>ガツ</t>
    </rPh>
    <rPh sb="8" eb="9">
      <t>ニチ</t>
    </rPh>
    <phoneticPr fontId="2"/>
  </si>
  <si>
    <t>令和４年４月１日現在</t>
    <rPh sb="0" eb="2">
      <t>レイワ</t>
    </rPh>
    <rPh sb="5" eb="6">
      <t>ガツ</t>
    </rPh>
    <rPh sb="7" eb="8">
      <t>ヒ</t>
    </rPh>
    <rPh sb="8" eb="9">
      <t>ツイタチ</t>
    </rPh>
    <phoneticPr fontId="9"/>
  </si>
  <si>
    <t>令和４年4月1日現在</t>
    <rPh sb="0" eb="2">
      <t>レイワ</t>
    </rPh>
    <rPh sb="5" eb="6">
      <t>ガツ</t>
    </rPh>
    <rPh sb="7" eb="8">
      <t>ヒ</t>
    </rPh>
    <rPh sb="8" eb="9">
      <t>ツイタチ</t>
    </rPh>
    <phoneticPr fontId="9"/>
  </si>
  <si>
    <t>令和４年5月1日現在</t>
    <rPh sb="0" eb="2">
      <t>レイワ</t>
    </rPh>
    <rPh sb="5" eb="6">
      <t>ガツ</t>
    </rPh>
    <rPh sb="7" eb="8">
      <t>ヒ</t>
    </rPh>
    <rPh sb="8" eb="9">
      <t>ツイタチ</t>
    </rPh>
    <phoneticPr fontId="9"/>
  </si>
  <si>
    <t>　(1) 令和３年度（１年間）</t>
    <rPh sb="5" eb="7">
      <t>レイワ</t>
    </rPh>
    <rPh sb="12" eb="14">
      <t>ネンカン</t>
    </rPh>
    <phoneticPr fontId="2"/>
  </si>
  <si>
    <t>　(2) 令和４年度（4月1日～4月30日）</t>
    <rPh sb="5" eb="7">
      <t>レイワ</t>
    </rPh>
    <phoneticPr fontId="2"/>
  </si>
  <si>
    <t>令和４年
5月1日現在</t>
    <rPh sb="0" eb="2">
      <t>レイワ</t>
    </rPh>
    <rPh sb="6" eb="7">
      <t>ガツ</t>
    </rPh>
    <rPh sb="7" eb="9">
      <t>ツイタチ</t>
    </rPh>
    <rPh sb="8" eb="9">
      <t>ニチ</t>
    </rPh>
    <phoneticPr fontId="2"/>
  </si>
  <si>
    <t>令和３年
5月1日現在</t>
    <rPh sb="0" eb="2">
      <t>レイワ</t>
    </rPh>
    <rPh sb="3" eb="4">
      <t>ネン</t>
    </rPh>
    <rPh sb="6" eb="7">
      <t>ガツ</t>
    </rPh>
    <rPh sb="8" eb="9">
      <t>ニチ</t>
    </rPh>
    <phoneticPr fontId="2"/>
  </si>
  <si>
    <t>（4月1日～4月31日）</t>
    <rPh sb="2" eb="3">
      <t>ガツ</t>
    </rPh>
    <phoneticPr fontId="9"/>
  </si>
  <si>
    <t>　(1) 令和３年度</t>
    <rPh sb="5" eb="7">
      <t>レイワ</t>
    </rPh>
    <rPh sb="8" eb="10">
      <t>ネンド</t>
    </rPh>
    <rPh sb="9" eb="10">
      <t>ド</t>
    </rPh>
    <phoneticPr fontId="9"/>
  </si>
  <si>
    <t>令和４年度</t>
    <rPh sb="0" eb="2">
      <t>レイワ</t>
    </rPh>
    <rPh sb="3" eb="4">
      <t>ネン</t>
    </rPh>
    <rPh sb="4" eb="5">
      <t>ド</t>
    </rPh>
    <phoneticPr fontId="9"/>
  </si>
  <si>
    <t>令和４年度</t>
    <rPh sb="0" eb="2">
      <t>レイワ</t>
    </rPh>
    <rPh sb="3" eb="5">
      <t>ネンド</t>
    </rPh>
    <phoneticPr fontId="9"/>
  </si>
  <si>
    <t>　(2) 令和４年度（4月1日～4月31日）</t>
    <rPh sb="5" eb="7">
      <t>レイワ</t>
    </rPh>
    <rPh sb="8" eb="9">
      <t>ネン</t>
    </rPh>
    <rPh sb="9" eb="10">
      <t>ド</t>
    </rPh>
    <rPh sb="12" eb="13">
      <t>ツキ</t>
    </rPh>
    <rPh sb="14" eb="15">
      <t>ヒ</t>
    </rPh>
    <rPh sb="17" eb="18">
      <t>ツキ</t>
    </rPh>
    <rPh sb="20" eb="21">
      <t>ヒ</t>
    </rPh>
    <phoneticPr fontId="9"/>
  </si>
  <si>
    <t>令和４年6月1日現在</t>
    <rPh sb="0" eb="2">
      <t>レイワ</t>
    </rPh>
    <rPh sb="5" eb="6">
      <t>ガツ</t>
    </rPh>
    <rPh sb="7" eb="8">
      <t>ヒ</t>
    </rPh>
    <rPh sb="8" eb="9">
      <t>ツイタチ</t>
    </rPh>
    <phoneticPr fontId="9"/>
  </si>
  <si>
    <t>　(2) 令和４年度（4月1日～5月31日）</t>
    <rPh sb="5" eb="7">
      <t>レイワ</t>
    </rPh>
    <phoneticPr fontId="2"/>
  </si>
  <si>
    <t>令和４年
6月1日現在</t>
    <rPh sb="0" eb="2">
      <t>レイワ</t>
    </rPh>
    <rPh sb="6" eb="7">
      <t>ガツ</t>
    </rPh>
    <rPh sb="7" eb="9">
      <t>ツイタチ</t>
    </rPh>
    <rPh sb="8" eb="9">
      <t>ニチ</t>
    </rPh>
    <phoneticPr fontId="2"/>
  </si>
  <si>
    <r>
      <t>　(2) 令和４年度（4月1日～</t>
    </r>
    <r>
      <rPr>
        <sz val="12"/>
        <rFont val="ＭＳ ゴシック"/>
        <family val="3"/>
        <charset val="128"/>
      </rPr>
      <t>5</t>
    </r>
    <r>
      <rPr>
        <sz val="12"/>
        <rFont val="ＭＳ ゴシック"/>
        <family val="3"/>
        <charset val="128"/>
      </rPr>
      <t>月31日）</t>
    </r>
    <rPh sb="5" eb="7">
      <t>レイワ</t>
    </rPh>
    <rPh sb="8" eb="9">
      <t>ネン</t>
    </rPh>
    <rPh sb="9" eb="10">
      <t>ド</t>
    </rPh>
    <rPh sb="12" eb="13">
      <t>ツキ</t>
    </rPh>
    <rPh sb="14" eb="15">
      <t>ヒ</t>
    </rPh>
    <rPh sb="17" eb="18">
      <t>ツキ</t>
    </rPh>
    <rPh sb="20" eb="21">
      <t>ヒ</t>
    </rPh>
    <phoneticPr fontId="9"/>
  </si>
  <si>
    <t>令和４年7月1日現在</t>
    <rPh sb="0" eb="2">
      <t>レイワ</t>
    </rPh>
    <rPh sb="5" eb="6">
      <t>ガツ</t>
    </rPh>
    <rPh sb="7" eb="8">
      <t>ヒ</t>
    </rPh>
    <rPh sb="8" eb="9">
      <t>ツイタチ</t>
    </rPh>
    <phoneticPr fontId="9"/>
  </si>
  <si>
    <t>　(2) 令和４年度（4月1日～6月30日）</t>
    <rPh sb="5" eb="7">
      <t>レイワ</t>
    </rPh>
    <phoneticPr fontId="2"/>
  </si>
  <si>
    <r>
      <t>（6月1日～</t>
    </r>
    <r>
      <rPr>
        <sz val="12"/>
        <rFont val="ＭＳ ゴシック"/>
        <family val="3"/>
        <charset val="128"/>
      </rPr>
      <t>6</t>
    </r>
    <r>
      <rPr>
        <sz val="12"/>
        <rFont val="ＭＳ ゴシック"/>
        <family val="3"/>
        <charset val="128"/>
      </rPr>
      <t>月3</t>
    </r>
    <r>
      <rPr>
        <sz val="12"/>
        <rFont val="ＭＳ ゴシック"/>
        <family val="3"/>
        <charset val="128"/>
      </rPr>
      <t>0</t>
    </r>
    <r>
      <rPr>
        <sz val="12"/>
        <rFont val="ＭＳ ゴシック"/>
        <family val="3"/>
        <charset val="128"/>
      </rPr>
      <t>日）</t>
    </r>
    <rPh sb="2" eb="3">
      <t>ガツ</t>
    </rPh>
    <phoneticPr fontId="9"/>
  </si>
  <si>
    <t>　(2) 令和４年度（4月1日～6月30日）</t>
    <rPh sb="5" eb="7">
      <t>レイワ</t>
    </rPh>
    <rPh sb="8" eb="9">
      <t>ネン</t>
    </rPh>
    <rPh sb="9" eb="10">
      <t>ド</t>
    </rPh>
    <rPh sb="12" eb="13">
      <t>ツキ</t>
    </rPh>
    <rPh sb="14" eb="15">
      <t>ヒ</t>
    </rPh>
    <rPh sb="17" eb="18">
      <t>ツキ</t>
    </rPh>
    <rPh sb="20" eb="21">
      <t>ヒ</t>
    </rPh>
    <phoneticPr fontId="9"/>
  </si>
  <si>
    <t>　(2) 令和３年度（4月1日～3月31日）</t>
    <rPh sb="5" eb="7">
      <t>レイワ</t>
    </rPh>
    <rPh sb="12" eb="13">
      <t>ガツ</t>
    </rPh>
    <rPh sb="14" eb="15">
      <t>ニチ</t>
    </rPh>
    <rPh sb="17" eb="18">
      <t>ガツ</t>
    </rPh>
    <rPh sb="20" eb="21">
      <t>ニチ</t>
    </rPh>
    <phoneticPr fontId="2"/>
  </si>
  <si>
    <t>令和４年8月1日現在</t>
    <rPh sb="0" eb="2">
      <t>レイワ</t>
    </rPh>
    <rPh sb="5" eb="6">
      <t>ガツ</t>
    </rPh>
    <rPh sb="7" eb="8">
      <t>ヒ</t>
    </rPh>
    <rPh sb="8" eb="9">
      <t>ツイタチ</t>
    </rPh>
    <phoneticPr fontId="9"/>
  </si>
  <si>
    <t>　(2) 令和４年度（4月1日～7月31日）</t>
    <rPh sb="5" eb="7">
      <t>レイワ</t>
    </rPh>
    <phoneticPr fontId="2"/>
  </si>
  <si>
    <t>令和４年
7月1日現在</t>
    <rPh sb="0" eb="2">
      <t>レイワ</t>
    </rPh>
    <rPh sb="6" eb="7">
      <t>ガツ</t>
    </rPh>
    <rPh sb="7" eb="9">
      <t>ツイタチ</t>
    </rPh>
    <rPh sb="8" eb="9">
      <t>ニチ</t>
    </rPh>
    <phoneticPr fontId="2"/>
  </si>
  <si>
    <t>令和４年
8月1日現在</t>
    <rPh sb="0" eb="2">
      <t>レイワ</t>
    </rPh>
    <rPh sb="6" eb="7">
      <t>ガツ</t>
    </rPh>
    <rPh sb="7" eb="9">
      <t>ツイタチ</t>
    </rPh>
    <rPh sb="8" eb="9">
      <t>ニチ</t>
    </rPh>
    <phoneticPr fontId="2"/>
  </si>
  <si>
    <t>　(2) 令和４年度（4月1日～7月31日）</t>
    <rPh sb="5" eb="7">
      <t>レイワ</t>
    </rPh>
    <rPh sb="8" eb="9">
      <t>ネン</t>
    </rPh>
    <rPh sb="9" eb="10">
      <t>ド</t>
    </rPh>
    <rPh sb="12" eb="13">
      <t>ツキ</t>
    </rPh>
    <rPh sb="14" eb="15">
      <t>ヒ</t>
    </rPh>
    <rPh sb="17" eb="18">
      <t>ツキ</t>
    </rPh>
    <rPh sb="20" eb="21">
      <t>ヒ</t>
    </rPh>
    <phoneticPr fontId="9"/>
  </si>
  <si>
    <t>令和４年9月1日現在</t>
    <rPh sb="0" eb="2">
      <t>レイワ</t>
    </rPh>
    <rPh sb="5" eb="6">
      <t>ガツ</t>
    </rPh>
    <rPh sb="7" eb="8">
      <t>ヒ</t>
    </rPh>
    <rPh sb="8" eb="9">
      <t>ツイタチ</t>
    </rPh>
    <phoneticPr fontId="9"/>
  </si>
  <si>
    <t>　(2) 令和４年度（4月1日～8月31日）</t>
    <rPh sb="5" eb="7">
      <t>レイワ</t>
    </rPh>
    <phoneticPr fontId="2"/>
  </si>
  <si>
    <t>令和４年
9月1日現在</t>
    <rPh sb="0" eb="2">
      <t>レイワ</t>
    </rPh>
    <rPh sb="6" eb="7">
      <t>ガツ</t>
    </rPh>
    <rPh sb="7" eb="9">
      <t>ツイタチ</t>
    </rPh>
    <rPh sb="8" eb="9">
      <t>ニチ</t>
    </rPh>
    <phoneticPr fontId="2"/>
  </si>
  <si>
    <t>※９月1日現在</t>
    <rPh sb="2" eb="3">
      <t>ガツ</t>
    </rPh>
    <rPh sb="4" eb="5">
      <t>ニチ</t>
    </rPh>
    <rPh sb="5" eb="7">
      <t>ゲンザイ</t>
    </rPh>
    <phoneticPr fontId="9"/>
  </si>
  <si>
    <t>　(2) 令和４年度（4月1日～８月31日）</t>
    <rPh sb="5" eb="7">
      <t>レイワ</t>
    </rPh>
    <rPh sb="8" eb="9">
      <t>ネン</t>
    </rPh>
    <rPh sb="9" eb="10">
      <t>ド</t>
    </rPh>
    <rPh sb="12" eb="13">
      <t>ツキ</t>
    </rPh>
    <rPh sb="14" eb="15">
      <t>ヒ</t>
    </rPh>
    <rPh sb="17" eb="18">
      <t>ツキ</t>
    </rPh>
    <rPh sb="20" eb="21">
      <t>ヒ</t>
    </rPh>
    <phoneticPr fontId="9"/>
  </si>
  <si>
    <t>令和４年10月1日現在</t>
    <rPh sb="0" eb="2">
      <t>レイワ</t>
    </rPh>
    <rPh sb="6" eb="7">
      <t>ガツ</t>
    </rPh>
    <rPh sb="8" eb="9">
      <t>ヒ</t>
    </rPh>
    <rPh sb="9" eb="10">
      <t>ツイタチ</t>
    </rPh>
    <phoneticPr fontId="9"/>
  </si>
  <si>
    <t>　(2) 令和４年度（4月1日～9月30日）</t>
    <rPh sb="5" eb="7">
      <t>レイワ</t>
    </rPh>
    <phoneticPr fontId="2"/>
  </si>
  <si>
    <t>令和４年
10月1日現在</t>
    <rPh sb="0" eb="2">
      <t>レイワ</t>
    </rPh>
    <rPh sb="7" eb="8">
      <t>ガツ</t>
    </rPh>
    <rPh sb="8" eb="10">
      <t>ツイタチ</t>
    </rPh>
    <rPh sb="9" eb="10">
      <t>ニチ</t>
    </rPh>
    <phoneticPr fontId="2"/>
  </si>
  <si>
    <t>理由</t>
    <phoneticPr fontId="9"/>
  </si>
  <si>
    <t>　(2) 令和４年度（4月1日～9月30日）</t>
    <rPh sb="5" eb="7">
      <t>レイワ</t>
    </rPh>
    <rPh sb="8" eb="9">
      <t>ネン</t>
    </rPh>
    <rPh sb="9" eb="10">
      <t>ド</t>
    </rPh>
    <rPh sb="12" eb="13">
      <t>ツキ</t>
    </rPh>
    <rPh sb="14" eb="15">
      <t>ヒ</t>
    </rPh>
    <rPh sb="17" eb="18">
      <t>ツキ</t>
    </rPh>
    <rPh sb="20" eb="21">
      <t>ヒ</t>
    </rPh>
    <phoneticPr fontId="9"/>
  </si>
  <si>
    <t>３年度
決算額</t>
    <rPh sb="6" eb="7">
      <t>ガク</t>
    </rPh>
    <phoneticPr fontId="9"/>
  </si>
  <si>
    <t>令和４年11月1日現在</t>
    <rPh sb="0" eb="2">
      <t>レイワ</t>
    </rPh>
    <rPh sb="6" eb="7">
      <t>ガツ</t>
    </rPh>
    <rPh sb="8" eb="9">
      <t>ヒ</t>
    </rPh>
    <rPh sb="9" eb="10">
      <t>ツイタチ</t>
    </rPh>
    <phoneticPr fontId="9"/>
  </si>
  <si>
    <t>　(2) 令和４年度（4月1日～10月31日）</t>
    <rPh sb="5" eb="7">
      <t>レイワ</t>
    </rPh>
    <phoneticPr fontId="2"/>
  </si>
  <si>
    <t>令和４年
11月1日現在</t>
    <rPh sb="0" eb="2">
      <t>レイワ</t>
    </rPh>
    <rPh sb="7" eb="8">
      <t>ガツ</t>
    </rPh>
    <rPh sb="8" eb="10">
      <t>ツイタチ</t>
    </rPh>
    <rPh sb="9" eb="10">
      <t>ニチ</t>
    </rPh>
    <phoneticPr fontId="2"/>
  </si>
  <si>
    <t>　(2) 令和４年度（4月1日～10月31日）</t>
    <rPh sb="5" eb="7">
      <t>レイワ</t>
    </rPh>
    <rPh sb="8" eb="9">
      <t>ネン</t>
    </rPh>
    <rPh sb="9" eb="10">
      <t>ド</t>
    </rPh>
    <rPh sb="12" eb="13">
      <t>ツキ</t>
    </rPh>
    <rPh sb="14" eb="15">
      <t>ヒ</t>
    </rPh>
    <rPh sb="18" eb="19">
      <t>ガツ</t>
    </rPh>
    <rPh sb="21" eb="22">
      <t>ヒ</t>
    </rPh>
    <phoneticPr fontId="9"/>
  </si>
  <si>
    <t>令和４年12月1日現在</t>
    <rPh sb="0" eb="2">
      <t>レイワ</t>
    </rPh>
    <rPh sb="6" eb="7">
      <t>ガツ</t>
    </rPh>
    <rPh sb="8" eb="9">
      <t>ヒ</t>
    </rPh>
    <rPh sb="9" eb="10">
      <t>ツイタチ</t>
    </rPh>
    <phoneticPr fontId="9"/>
  </si>
  <si>
    <t>　(2) 令和４年度（4月1日～11月30日）</t>
    <rPh sb="5" eb="7">
      <t>レイワ</t>
    </rPh>
    <phoneticPr fontId="2"/>
  </si>
  <si>
    <t>令和４年
12月1日現在</t>
    <rPh sb="0" eb="2">
      <t>レイワ</t>
    </rPh>
    <rPh sb="7" eb="8">
      <t>ガツ</t>
    </rPh>
    <rPh sb="8" eb="10">
      <t>ツイタチ</t>
    </rPh>
    <rPh sb="9" eb="10">
      <t>ニチ</t>
    </rPh>
    <phoneticPr fontId="2"/>
  </si>
  <si>
    <t>　(2) 令和４年度（4月1日～11月30日）</t>
    <rPh sb="5" eb="7">
      <t>レイワ</t>
    </rPh>
    <rPh sb="8" eb="9">
      <t>ネン</t>
    </rPh>
    <rPh sb="9" eb="10">
      <t>ド</t>
    </rPh>
    <rPh sb="12" eb="13">
      <t>ツキ</t>
    </rPh>
    <rPh sb="14" eb="15">
      <t>ヒ</t>
    </rPh>
    <rPh sb="18" eb="19">
      <t>ガツ</t>
    </rPh>
    <rPh sb="21" eb="22">
      <t>ヒ</t>
    </rPh>
    <phoneticPr fontId="9"/>
  </si>
  <si>
    <t>令和5年1月1日現在</t>
    <rPh sb="0" eb="2">
      <t>レイワ</t>
    </rPh>
    <rPh sb="5" eb="6">
      <t>ガツ</t>
    </rPh>
    <rPh sb="7" eb="8">
      <t>ヒ</t>
    </rPh>
    <rPh sb="8" eb="9">
      <t>ツイタチ</t>
    </rPh>
    <phoneticPr fontId="9"/>
  </si>
  <si>
    <t>令和５年
1月1日現在</t>
    <rPh sb="0" eb="2">
      <t>レイワ</t>
    </rPh>
    <rPh sb="6" eb="7">
      <t>ガツ</t>
    </rPh>
    <rPh sb="7" eb="9">
      <t>ツイタチ</t>
    </rPh>
    <rPh sb="8" eb="9">
      <t>ニチ</t>
    </rPh>
    <phoneticPr fontId="2"/>
  </si>
  <si>
    <t>　(2) 令和４年度（4月1日～12月31日）</t>
    <rPh sb="5" eb="7">
      <t>レイワ</t>
    </rPh>
    <phoneticPr fontId="2"/>
  </si>
  <si>
    <t>　(2) 令和４年度（4月1日～12月31日）</t>
    <rPh sb="5" eb="7">
      <t>レイワ</t>
    </rPh>
    <rPh sb="8" eb="9">
      <t>ネン</t>
    </rPh>
    <rPh sb="9" eb="10">
      <t>ド</t>
    </rPh>
    <rPh sb="12" eb="13">
      <t>ツキ</t>
    </rPh>
    <rPh sb="14" eb="15">
      <t>ヒ</t>
    </rPh>
    <rPh sb="18" eb="19">
      <t>ガツ</t>
    </rPh>
    <rPh sb="21" eb="22">
      <t>ヒ</t>
    </rPh>
    <phoneticPr fontId="9"/>
  </si>
  <si>
    <t>　(2) 令和４年度（4月1日～1月31日）</t>
    <rPh sb="5" eb="7">
      <t>レイワ</t>
    </rPh>
    <phoneticPr fontId="2"/>
  </si>
  <si>
    <t>令和５年
2月1日現在</t>
    <rPh sb="0" eb="2">
      <t>レイワ</t>
    </rPh>
    <rPh sb="6" eb="7">
      <t>ガツ</t>
    </rPh>
    <rPh sb="7" eb="9">
      <t>ツイタチ</t>
    </rPh>
    <rPh sb="8" eb="9">
      <t>ニチ</t>
    </rPh>
    <phoneticPr fontId="2"/>
  </si>
  <si>
    <t>　(2) 令和４年度（4月1日～1月31日）</t>
    <rPh sb="5" eb="7">
      <t>レイワ</t>
    </rPh>
    <rPh sb="8" eb="9">
      <t>ネン</t>
    </rPh>
    <rPh sb="9" eb="10">
      <t>ド</t>
    </rPh>
    <rPh sb="12" eb="13">
      <t>ツキ</t>
    </rPh>
    <rPh sb="14" eb="15">
      <t>ヒ</t>
    </rPh>
    <rPh sb="17" eb="18">
      <t>ガツ</t>
    </rPh>
    <rPh sb="20" eb="21">
      <t>ヒ</t>
    </rPh>
    <phoneticPr fontId="9"/>
  </si>
  <si>
    <t>　(2) 令和４年度（4月1日～2月28日）</t>
    <rPh sb="5" eb="7">
      <t>レイワ</t>
    </rPh>
    <phoneticPr fontId="2"/>
  </si>
  <si>
    <t>令和５年
3月1日現在</t>
    <rPh sb="0" eb="2">
      <t>レイワ</t>
    </rPh>
    <rPh sb="6" eb="7">
      <t>ガツ</t>
    </rPh>
    <rPh sb="7" eb="9">
      <t>ツイタチ</t>
    </rPh>
    <rPh sb="8" eb="9">
      <t>ニチ</t>
    </rPh>
    <phoneticPr fontId="2"/>
  </si>
  <si>
    <t>　(2) 令和４年度（4月1日～2月28日）</t>
    <rPh sb="5" eb="7">
      <t>レイワ</t>
    </rPh>
    <rPh sb="8" eb="9">
      <t>ネン</t>
    </rPh>
    <rPh sb="9" eb="10">
      <t>ド</t>
    </rPh>
    <rPh sb="12" eb="13">
      <t>ツキ</t>
    </rPh>
    <rPh sb="14" eb="15">
      <t>ヒ</t>
    </rPh>
    <rPh sb="17" eb="18">
      <t>ガツ</t>
    </rPh>
    <rPh sb="20" eb="21">
      <t>ヒ</t>
    </rPh>
    <phoneticPr fontId="9"/>
  </si>
  <si>
    <t>令和5年3月1日現在</t>
    <rPh sb="0" eb="2">
      <t>レイワ</t>
    </rPh>
    <rPh sb="5" eb="6">
      <t>ガツ</t>
    </rPh>
    <rPh sb="7" eb="8">
      <t>ヒ</t>
    </rPh>
    <rPh sb="8" eb="9">
      <t>ツイタチ</t>
    </rPh>
    <phoneticPr fontId="9"/>
  </si>
  <si>
    <t>令和5年4月1日現在</t>
    <rPh sb="0" eb="2">
      <t>レイワ</t>
    </rPh>
    <rPh sb="5" eb="6">
      <t>ガツ</t>
    </rPh>
    <rPh sb="7" eb="8">
      <t>ヒ</t>
    </rPh>
    <rPh sb="8" eb="9">
      <t>ツイタチ</t>
    </rPh>
    <phoneticPr fontId="9"/>
  </si>
  <si>
    <t>　(2) 令和４年度（4月1日～3月31日）</t>
    <rPh sb="5" eb="7">
      <t>レイワ</t>
    </rPh>
    <phoneticPr fontId="2"/>
  </si>
  <si>
    <t>令和５年
4月1日現在</t>
    <rPh sb="0" eb="2">
      <t>レイワ</t>
    </rPh>
    <rPh sb="6" eb="7">
      <t>ガツ</t>
    </rPh>
    <rPh sb="7" eb="9">
      <t>ツイタチ</t>
    </rPh>
    <rPh sb="8" eb="9">
      <t>ニチ</t>
    </rPh>
    <phoneticPr fontId="2"/>
  </si>
  <si>
    <t>　(2) 令和４年度（4月1日～3月31日）</t>
    <rPh sb="5" eb="7">
      <t>レイワ</t>
    </rPh>
    <rPh sb="8" eb="9">
      <t>ネン</t>
    </rPh>
    <rPh sb="9" eb="10">
      <t>ド</t>
    </rPh>
    <rPh sb="12" eb="13">
      <t>ツキ</t>
    </rPh>
    <rPh sb="14" eb="15">
      <t>ヒ</t>
    </rPh>
    <rPh sb="17" eb="18">
      <t>ガツ</t>
    </rPh>
    <rPh sb="20" eb="21">
      <t>ヒ</t>
    </rPh>
    <phoneticPr fontId="9"/>
  </si>
  <si>
    <t>令和5年4月1日</t>
    <rPh sb="0" eb="2">
      <t>レイワ</t>
    </rPh>
    <rPh sb="3" eb="4">
      <t>ネン</t>
    </rPh>
    <rPh sb="5" eb="6">
      <t>ツキ</t>
    </rPh>
    <rPh sb="7" eb="8">
      <t>ニチ</t>
    </rPh>
    <phoneticPr fontId="9"/>
  </si>
  <si>
    <t>令和5年3月1日</t>
    <rPh sb="0" eb="2">
      <t>レイワ</t>
    </rPh>
    <rPh sb="3" eb="4">
      <t>ネン</t>
    </rPh>
    <rPh sb="5" eb="6">
      <t>ツキ</t>
    </rPh>
    <rPh sb="7" eb="8">
      <t>ニチ</t>
    </rPh>
    <phoneticPr fontId="9"/>
  </si>
  <si>
    <t>令和5年2月1日</t>
    <rPh sb="0" eb="2">
      <t>レイワ</t>
    </rPh>
    <rPh sb="3" eb="4">
      <t>ネン</t>
    </rPh>
    <rPh sb="5" eb="6">
      <t>ツキ</t>
    </rPh>
    <rPh sb="7" eb="8">
      <t>ニチ</t>
    </rPh>
    <phoneticPr fontId="9"/>
  </si>
  <si>
    <t>令和5年1月1日</t>
    <phoneticPr fontId="9"/>
  </si>
  <si>
    <t>令和4年12月1日</t>
    <phoneticPr fontId="9"/>
  </si>
  <si>
    <t>令和4年11月1日</t>
    <phoneticPr fontId="9"/>
  </si>
  <si>
    <t>令和4年10月1日</t>
    <phoneticPr fontId="9"/>
  </si>
  <si>
    <t>令和4年9月1日</t>
    <phoneticPr fontId="9"/>
  </si>
  <si>
    <t>令和4年8月1日</t>
    <phoneticPr fontId="9"/>
  </si>
  <si>
    <t>令和4年7月1日</t>
    <phoneticPr fontId="9"/>
  </si>
  <si>
    <t>令和4年6月1日</t>
    <phoneticPr fontId="9"/>
  </si>
  <si>
    <t>令和4年5月1日</t>
    <phoneticPr fontId="9"/>
  </si>
  <si>
    <t>令和4年4月1日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</si>
</sst>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.0%"/>
    <numFmt numFmtId="177" formatCode="0_ "/>
    <numFmt numFmtId="178" formatCode="#,##0;&quot;△ &quot;#,##0"/>
    <numFmt numFmtId="179" formatCode="\(yyyy&quot;年&quot;m&quot;月&quot;d&quot;日&quot;\)"/>
    <numFmt numFmtId="180" formatCode="[$-411]ggge&quot;年&quot;m&quot;月&quot;d&quot;日&quot;;@"/>
    <numFmt numFmtId="181" formatCode="#,##0.0_ ;[Red]\-#,##0.0\ "/>
    <numFmt numFmtId="182" formatCode="#,##0.00_ ;[Red]\-#,##0.00\ "/>
  </numFmts>
  <fonts count="26" x14ac:knownFonts="1">
    <font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0.5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ＭＳ ゴシック"/>
      <family val="3"/>
      <charset val="128"/>
    </font>
    <font>
      <b/>
      <sz val="14"/>
      <color rgb="FFFF0000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b/>
      <sz val="6"/>
      <color rgb="FFFF0000"/>
      <name val="ＭＳ ゴシック"/>
      <family val="3"/>
      <charset val="128"/>
    </font>
    <font>
      <sz val="12"/>
      <color theme="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0"/>
      <name val="ＭＳ Ｐ明朝"/>
      <family val="1"/>
      <charset val="128"/>
    </font>
    <font>
      <sz val="6"/>
      <color rgb="FFFF0000"/>
      <name val="ＭＳ ゴシック"/>
      <family val="3"/>
      <charset val="128"/>
    </font>
    <font>
      <b/>
      <sz val="10.5"/>
      <name val="ＭＳ ゴシック"/>
      <family val="3"/>
      <charset val="128"/>
    </font>
    <font>
      <b/>
      <sz val="1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895">
    <xf numFmtId="0" fontId="0" fillId="0" borderId="0" xfId="0"/>
    <xf numFmtId="38" fontId="6" fillId="0" borderId="0" xfId="2" applyFont="1" applyAlignment="1">
      <alignment vertical="center"/>
    </xf>
    <xf numFmtId="38" fontId="3" fillId="0" borderId="0" xfId="2" applyFont="1" applyAlignment="1">
      <alignment vertical="center"/>
    </xf>
    <xf numFmtId="38" fontId="1" fillId="0" borderId="0" xfId="2" applyFont="1" applyAlignment="1">
      <alignment vertical="center"/>
    </xf>
    <xf numFmtId="38" fontId="1" fillId="0" borderId="0" xfId="2" applyAlignment="1">
      <alignment vertical="center"/>
    </xf>
    <xf numFmtId="38" fontId="5" fillId="0" borderId="9" xfId="2" applyFont="1" applyFill="1" applyBorder="1" applyAlignment="1">
      <alignment horizontal="left" vertical="center"/>
    </xf>
    <xf numFmtId="38" fontId="5" fillId="0" borderId="5" xfId="2" applyFont="1" applyFill="1" applyBorder="1" applyAlignment="1">
      <alignment horizontal="left" vertical="center"/>
    </xf>
    <xf numFmtId="38" fontId="1" fillId="0" borderId="0" xfId="2" applyFill="1" applyAlignment="1">
      <alignment vertical="center"/>
    </xf>
    <xf numFmtId="38" fontId="5" fillId="0" borderId="6" xfId="2" applyFont="1" applyFill="1" applyBorder="1" applyAlignment="1">
      <alignment horizontal="left" vertical="center"/>
    </xf>
    <xf numFmtId="38" fontId="9" fillId="0" borderId="0" xfId="2" applyFont="1" applyFill="1" applyBorder="1" applyAlignment="1">
      <alignment horizontal="left" vertical="center"/>
    </xf>
    <xf numFmtId="38" fontId="9" fillId="0" borderId="0" xfId="2" applyFont="1" applyFill="1" applyBorder="1" applyAlignment="1">
      <alignment horizontal="center" vertical="center"/>
    </xf>
    <xf numFmtId="38" fontId="9" fillId="0" borderId="0" xfId="2" applyFont="1" applyFill="1" applyBorder="1" applyAlignment="1">
      <alignment horizontal="right" vertical="center"/>
    </xf>
    <xf numFmtId="38" fontId="9" fillId="0" borderId="0" xfId="2" applyFont="1" applyFill="1" applyBorder="1" applyAlignment="1">
      <alignment horizontal="left" vertical="center" wrapText="1"/>
    </xf>
    <xf numFmtId="38" fontId="6" fillId="0" borderId="0" xfId="2" applyFont="1" applyFill="1" applyAlignment="1">
      <alignment vertical="center"/>
    </xf>
    <xf numFmtId="38" fontId="1" fillId="0" borderId="0" xfId="2" applyFont="1" applyFill="1" applyAlignment="1">
      <alignment vertical="center"/>
    </xf>
    <xf numFmtId="38" fontId="4" fillId="0" borderId="0" xfId="2" applyFont="1" applyFill="1" applyAlignment="1">
      <alignment vertical="center"/>
    </xf>
    <xf numFmtId="38" fontId="12" fillId="0" borderId="0" xfId="2" applyFont="1" applyFill="1" applyAlignment="1">
      <alignment vertical="center"/>
    </xf>
    <xf numFmtId="38" fontId="9" fillId="0" borderId="0" xfId="2" applyFont="1" applyFill="1" applyAlignment="1">
      <alignment vertical="center"/>
    </xf>
    <xf numFmtId="38" fontId="0" fillId="0" borderId="0" xfId="2" applyFont="1" applyFill="1" applyAlignment="1">
      <alignment vertical="center"/>
    </xf>
    <xf numFmtId="38" fontId="0" fillId="0" borderId="0" xfId="2" applyFont="1" applyAlignment="1">
      <alignment vertical="center"/>
    </xf>
    <xf numFmtId="38" fontId="7" fillId="0" borderId="0" xfId="2" applyFont="1" applyFill="1" applyAlignment="1">
      <alignment vertical="center"/>
    </xf>
    <xf numFmtId="49" fontId="10" fillId="0" borderId="0" xfId="2" applyNumberFormat="1" applyFont="1" applyFill="1" applyAlignment="1">
      <alignment vertical="center"/>
    </xf>
    <xf numFmtId="38" fontId="12" fillId="0" borderId="2" xfId="2" applyFont="1" applyFill="1" applyBorder="1" applyAlignment="1">
      <alignment horizontal="center" vertical="center"/>
    </xf>
    <xf numFmtId="177" fontId="12" fillId="0" borderId="14" xfId="2" applyNumberFormat="1" applyFont="1" applyFill="1" applyBorder="1" applyAlignment="1">
      <alignment horizontal="center" vertical="center"/>
    </xf>
    <xf numFmtId="38" fontId="12" fillId="0" borderId="0" xfId="2" applyFont="1" applyFill="1" applyBorder="1" applyAlignment="1">
      <alignment vertical="center"/>
    </xf>
    <xf numFmtId="38" fontId="5" fillId="0" borderId="2" xfId="2" applyFont="1" applyFill="1" applyBorder="1" applyAlignment="1">
      <alignment horizontal="center" vertical="center"/>
    </xf>
    <xf numFmtId="38" fontId="8" fillId="0" borderId="2" xfId="2" applyFont="1" applyFill="1" applyBorder="1" applyAlignment="1">
      <alignment horizontal="left" vertical="center" wrapText="1"/>
    </xf>
    <xf numFmtId="10" fontId="5" fillId="0" borderId="0" xfId="1" applyNumberFormat="1" applyFont="1" applyFill="1" applyBorder="1" applyAlignment="1">
      <alignment horizontal="center" vertical="center"/>
    </xf>
    <xf numFmtId="38" fontId="5" fillId="0" borderId="12" xfId="2" applyFont="1" applyFill="1" applyBorder="1" applyAlignment="1">
      <alignment vertical="center"/>
    </xf>
    <xf numFmtId="38" fontId="12" fillId="2" borderId="17" xfId="2" applyFont="1" applyFill="1" applyBorder="1" applyAlignment="1">
      <alignment vertical="center" wrapText="1"/>
    </xf>
    <xf numFmtId="38" fontId="12" fillId="2" borderId="4" xfId="2" applyFont="1" applyFill="1" applyBorder="1" applyAlignment="1">
      <alignment vertical="center" wrapText="1"/>
    </xf>
    <xf numFmtId="38" fontId="12" fillId="2" borderId="1" xfId="2" applyFont="1" applyFill="1" applyBorder="1" applyAlignment="1">
      <alignment vertical="center" wrapText="1"/>
    </xf>
    <xf numFmtId="38" fontId="12" fillId="2" borderId="6" xfId="2" applyFont="1" applyFill="1" applyBorder="1" applyAlignment="1">
      <alignment vertical="center" wrapText="1"/>
    </xf>
    <xf numFmtId="49" fontId="14" fillId="0" borderId="0" xfId="2" applyNumberFormat="1" applyFont="1" applyFill="1" applyAlignment="1">
      <alignment vertical="center"/>
    </xf>
    <xf numFmtId="177" fontId="1" fillId="0" borderId="14" xfId="2" applyNumberFormat="1" applyFont="1" applyFill="1" applyBorder="1" applyAlignment="1">
      <alignment horizontal="center" vertical="center"/>
    </xf>
    <xf numFmtId="179" fontId="0" fillId="0" borderId="0" xfId="2" applyNumberFormat="1" applyFont="1" applyFill="1" applyAlignment="1">
      <alignment horizontal="right" vertical="center"/>
    </xf>
    <xf numFmtId="38" fontId="0" fillId="0" borderId="0" xfId="2" applyFont="1" applyFill="1" applyBorder="1" applyAlignment="1">
      <alignment horizontal="left" vertical="center"/>
    </xf>
    <xf numFmtId="38" fontId="5" fillId="0" borderId="0" xfId="2" applyFont="1" applyFill="1" applyBorder="1" applyAlignment="1">
      <alignment vertical="center" wrapText="1"/>
    </xf>
    <xf numFmtId="38" fontId="15" fillId="0" borderId="0" xfId="2" applyFont="1" applyAlignment="1">
      <alignment vertical="center"/>
    </xf>
    <xf numFmtId="38" fontId="20" fillId="0" borderId="0" xfId="2" applyFont="1" applyFill="1" applyAlignment="1">
      <alignment vertical="center"/>
    </xf>
    <xf numFmtId="38" fontId="15" fillId="0" borderId="0" xfId="2" applyFont="1" applyFill="1" applyAlignment="1">
      <alignment vertical="center"/>
    </xf>
    <xf numFmtId="38" fontId="16" fillId="0" borderId="0" xfId="2" applyFont="1" applyFill="1" applyBorder="1" applyAlignment="1">
      <alignment horizontal="center" vertical="center"/>
    </xf>
    <xf numFmtId="38" fontId="16" fillId="0" borderId="0" xfId="2" applyFont="1" applyFill="1" applyBorder="1" applyAlignment="1">
      <alignment horizontal="left" vertical="center"/>
    </xf>
    <xf numFmtId="38" fontId="16" fillId="0" borderId="0" xfId="2" applyFont="1" applyFill="1" applyBorder="1" applyAlignment="1">
      <alignment vertical="center"/>
    </xf>
    <xf numFmtId="38" fontId="16" fillId="0" borderId="0" xfId="2" applyFont="1" applyFill="1" applyBorder="1" applyAlignment="1">
      <alignment vertical="center" wrapText="1"/>
    </xf>
    <xf numFmtId="180" fontId="0" fillId="0" borderId="2" xfId="2" applyNumberFormat="1" applyFont="1" applyFill="1" applyBorder="1" applyAlignment="1">
      <alignment vertical="center"/>
    </xf>
    <xf numFmtId="179" fontId="0" fillId="0" borderId="0" xfId="2" applyNumberFormat="1" applyFont="1" applyFill="1" applyBorder="1" applyAlignment="1">
      <alignment horizontal="left" vertical="center"/>
    </xf>
    <xf numFmtId="179" fontId="1" fillId="0" borderId="0" xfId="2" applyNumberFormat="1" applyFont="1" applyFill="1" applyBorder="1" applyAlignment="1">
      <alignment horizontal="left" vertical="center"/>
    </xf>
    <xf numFmtId="38" fontId="1" fillId="0" borderId="2" xfId="2" applyFont="1" applyFill="1" applyBorder="1" applyAlignment="1">
      <alignment horizontal="center" vertical="center"/>
    </xf>
    <xf numFmtId="38" fontId="12" fillId="3" borderId="0" xfId="2" applyFont="1" applyFill="1" applyAlignment="1">
      <alignment vertical="center"/>
    </xf>
    <xf numFmtId="38" fontId="0" fillId="3" borderId="0" xfId="2" applyFont="1" applyFill="1" applyAlignment="1">
      <alignment vertical="center"/>
    </xf>
    <xf numFmtId="38" fontId="0" fillId="3" borderId="0" xfId="2" applyFont="1" applyFill="1" applyAlignment="1">
      <alignment horizontal="left" vertical="center"/>
    </xf>
    <xf numFmtId="38" fontId="6" fillId="3" borderId="0" xfId="2" applyFont="1" applyFill="1" applyAlignment="1">
      <alignment vertical="center"/>
    </xf>
    <xf numFmtId="38" fontId="15" fillId="3" borderId="0" xfId="2" applyFont="1" applyFill="1" applyAlignment="1">
      <alignment vertical="center"/>
    </xf>
    <xf numFmtId="38" fontId="3" fillId="3" borderId="0" xfId="2" applyFont="1" applyFill="1" applyAlignment="1">
      <alignment vertical="center"/>
    </xf>
    <xf numFmtId="38" fontId="1" fillId="3" borderId="0" xfId="2" applyFont="1" applyFill="1" applyAlignment="1">
      <alignment vertical="center"/>
    </xf>
    <xf numFmtId="38" fontId="0" fillId="3" borderId="0" xfId="2" applyFont="1" applyFill="1" applyBorder="1" applyAlignment="1">
      <alignment vertical="center"/>
    </xf>
    <xf numFmtId="38" fontId="5" fillId="3" borderId="12" xfId="2" applyFont="1" applyFill="1" applyBorder="1" applyAlignment="1">
      <alignment vertical="center"/>
    </xf>
    <xf numFmtId="38" fontId="5" fillId="3" borderId="8" xfId="2" applyFont="1" applyFill="1" applyBorder="1" applyAlignment="1">
      <alignment vertical="center"/>
    </xf>
    <xf numFmtId="38" fontId="1" fillId="3" borderId="5" xfId="2" applyFont="1" applyFill="1" applyBorder="1" applyAlignment="1">
      <alignment horizontal="center" vertical="center"/>
    </xf>
    <xf numFmtId="38" fontId="5" fillId="3" borderId="3" xfId="2" applyFont="1" applyFill="1" applyBorder="1" applyAlignment="1">
      <alignment vertical="center"/>
    </xf>
    <xf numFmtId="38" fontId="5" fillId="3" borderId="0" xfId="2" applyFont="1" applyFill="1" applyBorder="1" applyAlignment="1">
      <alignment vertical="center"/>
    </xf>
    <xf numFmtId="38" fontId="5" fillId="3" borderId="0" xfId="2" applyFont="1" applyFill="1" applyBorder="1" applyAlignment="1">
      <alignment vertical="center" shrinkToFit="1"/>
    </xf>
    <xf numFmtId="38" fontId="5" fillId="3" borderId="5" xfId="2" applyFont="1" applyFill="1" applyBorder="1" applyAlignment="1">
      <alignment horizontal="center" vertical="center"/>
    </xf>
    <xf numFmtId="38" fontId="1" fillId="3" borderId="6" xfId="2" applyFont="1" applyFill="1" applyBorder="1" applyAlignment="1">
      <alignment horizontal="center" vertical="center"/>
    </xf>
    <xf numFmtId="38" fontId="5" fillId="3" borderId="1" xfId="2" applyFont="1" applyFill="1" applyBorder="1" applyAlignment="1">
      <alignment vertical="center"/>
    </xf>
    <xf numFmtId="38" fontId="5" fillId="3" borderId="2" xfId="2" applyFont="1" applyFill="1" applyBorder="1" applyAlignment="1">
      <alignment vertical="center"/>
    </xf>
    <xf numFmtId="38" fontId="5" fillId="3" borderId="6" xfId="2" applyFont="1" applyFill="1" applyBorder="1" applyAlignment="1">
      <alignment horizontal="center" vertical="center"/>
    </xf>
    <xf numFmtId="38" fontId="5" fillId="3" borderId="2" xfId="2" applyFont="1" applyFill="1" applyBorder="1" applyAlignment="1">
      <alignment vertical="center" wrapText="1"/>
    </xf>
    <xf numFmtId="38" fontId="1" fillId="3" borderId="0" xfId="2" applyFill="1" applyAlignment="1">
      <alignment vertical="center"/>
    </xf>
    <xf numFmtId="10" fontId="5" fillId="0" borderId="0" xfId="1" applyNumberFormat="1" applyFont="1" applyFill="1" applyBorder="1" applyAlignment="1">
      <alignment horizontal="right" vertical="center"/>
    </xf>
    <xf numFmtId="38" fontId="22" fillId="0" borderId="0" xfId="2" applyFont="1" applyFill="1" applyAlignment="1">
      <alignment vertical="center"/>
    </xf>
    <xf numFmtId="38" fontId="6" fillId="0" borderId="0" xfId="2" applyFont="1" applyFill="1" applyAlignment="1">
      <alignment vertical="center" shrinkToFit="1"/>
    </xf>
    <xf numFmtId="38" fontId="6" fillId="0" borderId="0" xfId="2" applyFont="1" applyAlignment="1">
      <alignment vertical="center" shrinkToFit="1"/>
    </xf>
    <xf numFmtId="38" fontId="6" fillId="0" borderId="0" xfId="2" applyFont="1" applyFill="1" applyBorder="1" applyAlignment="1">
      <alignment horizontal="left" vertical="center"/>
    </xf>
    <xf numFmtId="38" fontId="3" fillId="0" borderId="2" xfId="2" applyFont="1" applyBorder="1" applyAlignment="1">
      <alignment vertical="center"/>
    </xf>
    <xf numFmtId="38" fontId="18" fillId="0" borderId="2" xfId="2" applyFont="1" applyBorder="1" applyAlignment="1">
      <alignment vertical="center"/>
    </xf>
    <xf numFmtId="38" fontId="18" fillId="0" borderId="0" xfId="2" applyFont="1" applyAlignment="1">
      <alignment vertical="center"/>
    </xf>
    <xf numFmtId="179" fontId="15" fillId="0" borderId="0" xfId="2" applyNumberFormat="1" applyFont="1" applyFill="1" applyBorder="1" applyAlignment="1">
      <alignment horizontal="left" vertical="center"/>
    </xf>
    <xf numFmtId="181" fontId="15" fillId="0" borderId="0" xfId="2" applyNumberFormat="1" applyFont="1" applyAlignment="1">
      <alignment horizontal="right" vertical="center" shrinkToFit="1"/>
    </xf>
    <xf numFmtId="181" fontId="15" fillId="0" borderId="0" xfId="2" applyNumberFormat="1" applyFont="1" applyFill="1" applyAlignment="1">
      <alignment horizontal="right" vertical="center" shrinkToFit="1"/>
    </xf>
    <xf numFmtId="181" fontId="18" fillId="0" borderId="0" xfId="2" applyNumberFormat="1" applyFont="1" applyAlignment="1">
      <alignment horizontal="right" vertical="center" shrinkToFit="1"/>
    </xf>
    <xf numFmtId="181" fontId="23" fillId="0" borderId="0" xfId="2" applyNumberFormat="1" applyFont="1" applyFill="1" applyBorder="1" applyAlignment="1">
      <alignment horizontal="right" vertical="center" shrinkToFit="1"/>
    </xf>
    <xf numFmtId="9" fontId="6" fillId="0" borderId="0" xfId="2" applyNumberFormat="1" applyFont="1" applyFill="1" applyAlignment="1">
      <alignment vertical="center"/>
    </xf>
    <xf numFmtId="9" fontId="1" fillId="0" borderId="0" xfId="1" applyFont="1" applyFill="1" applyAlignment="1">
      <alignment vertical="center"/>
    </xf>
    <xf numFmtId="182" fontId="1" fillId="0" borderId="0" xfId="2" applyNumberFormat="1" applyFont="1" applyFill="1" applyAlignment="1">
      <alignment vertical="center" shrinkToFit="1"/>
    </xf>
    <xf numFmtId="182" fontId="5" fillId="0" borderId="0" xfId="2" applyNumberFormat="1" applyFont="1" applyFill="1" applyAlignment="1">
      <alignment vertical="center" shrinkToFit="1"/>
    </xf>
    <xf numFmtId="182" fontId="12" fillId="0" borderId="0" xfId="2" applyNumberFormat="1" applyFont="1" applyFill="1" applyAlignment="1">
      <alignment vertical="center" shrinkToFit="1"/>
    </xf>
    <xf numFmtId="40" fontId="4" fillId="0" borderId="0" xfId="2" applyNumberFormat="1" applyFont="1" applyFill="1" applyAlignment="1">
      <alignment horizontal="center" vertical="center"/>
    </xf>
    <xf numFmtId="38" fontId="12" fillId="0" borderId="0" xfId="2" applyFont="1" applyFill="1" applyBorder="1" applyAlignment="1">
      <alignment horizontal="right" vertical="center"/>
    </xf>
    <xf numFmtId="38" fontId="3" fillId="3" borderId="0" xfId="2" applyFont="1" applyFill="1" applyBorder="1" applyAlignment="1">
      <alignment vertical="center"/>
    </xf>
    <xf numFmtId="38" fontId="3" fillId="3" borderId="5" xfId="2" applyFont="1" applyFill="1" applyBorder="1" applyAlignment="1">
      <alignment vertical="center"/>
    </xf>
    <xf numFmtId="38" fontId="5" fillId="3" borderId="3" xfId="2" applyFont="1" applyFill="1" applyBorder="1" applyAlignment="1">
      <alignment horizontal="left" vertical="center"/>
    </xf>
    <xf numFmtId="38" fontId="5" fillId="3" borderId="0" xfId="2" applyFont="1" applyFill="1" applyBorder="1" applyAlignment="1">
      <alignment horizontal="left" vertical="center"/>
    </xf>
    <xf numFmtId="38" fontId="5" fillId="3" borderId="12" xfId="2" applyFont="1" applyFill="1" applyBorder="1" applyAlignment="1">
      <alignment horizontal="left" vertical="center"/>
    </xf>
    <xf numFmtId="38" fontId="5" fillId="3" borderId="8" xfId="2" applyFont="1" applyFill="1" applyBorder="1" applyAlignment="1">
      <alignment horizontal="left" vertical="center"/>
    </xf>
    <xf numFmtId="38" fontId="5" fillId="3" borderId="1" xfId="2" applyFont="1" applyFill="1" applyBorder="1" applyAlignment="1">
      <alignment horizontal="left" vertical="center"/>
    </xf>
    <xf numFmtId="38" fontId="5" fillId="3" borderId="2" xfId="2" applyFont="1" applyFill="1" applyBorder="1" applyAlignment="1">
      <alignment horizontal="left" vertical="center"/>
    </xf>
    <xf numFmtId="181" fontId="21" fillId="0" borderId="0" xfId="2" applyNumberFormat="1" applyFont="1" applyAlignment="1">
      <alignment horizontal="right" vertical="center" shrinkToFit="1"/>
    </xf>
    <xf numFmtId="38" fontId="12" fillId="0" borderId="0" xfId="2" applyFont="1" applyFill="1" applyBorder="1" applyAlignment="1">
      <alignment horizontal="center" vertical="center"/>
    </xf>
    <xf numFmtId="38" fontId="12" fillId="0" borderId="0" xfId="2" applyFont="1" applyFill="1" applyAlignment="1">
      <alignment horizontal="right" vertical="center"/>
    </xf>
    <xf numFmtId="38" fontId="11" fillId="0" borderId="19" xfId="2" applyFont="1" applyFill="1" applyBorder="1" applyAlignment="1">
      <alignment horizontal="left" vertical="center"/>
    </xf>
    <xf numFmtId="38" fontId="11" fillId="0" borderId="13" xfId="2" applyFont="1" applyFill="1" applyBorder="1" applyAlignment="1">
      <alignment horizontal="left" vertical="center"/>
    </xf>
    <xf numFmtId="38" fontId="11" fillId="0" borderId="14" xfId="2" applyFont="1" applyFill="1" applyBorder="1" applyAlignment="1">
      <alignment horizontal="left" vertical="center"/>
    </xf>
    <xf numFmtId="38" fontId="5" fillId="0" borderId="3" xfId="2" applyFont="1" applyFill="1" applyBorder="1" applyAlignment="1">
      <alignment horizontal="left" vertical="center"/>
    </xf>
    <xf numFmtId="38" fontId="5" fillId="0" borderId="0" xfId="2" applyFont="1" applyFill="1" applyBorder="1" applyAlignment="1">
      <alignment horizontal="left" vertical="center"/>
    </xf>
    <xf numFmtId="38" fontId="5" fillId="0" borderId="12" xfId="2" applyFont="1" applyFill="1" applyBorder="1" applyAlignment="1">
      <alignment horizontal="left" vertical="center"/>
    </xf>
    <xf numFmtId="38" fontId="5" fillId="0" borderId="8" xfId="2" applyFont="1" applyFill="1" applyBorder="1" applyAlignment="1">
      <alignment horizontal="left" vertical="center"/>
    </xf>
    <xf numFmtId="38" fontId="5" fillId="0" borderId="1" xfId="2" applyFont="1" applyFill="1" applyBorder="1" applyAlignment="1">
      <alignment horizontal="left" vertical="center"/>
    </xf>
    <xf numFmtId="38" fontId="5" fillId="0" borderId="2" xfId="2" applyFont="1" applyFill="1" applyBorder="1" applyAlignment="1">
      <alignment horizontal="left" vertical="center"/>
    </xf>
    <xf numFmtId="38" fontId="5" fillId="0" borderId="0" xfId="2" applyFont="1" applyFill="1" applyBorder="1" applyAlignment="1">
      <alignment horizontal="center" vertical="center"/>
    </xf>
    <xf numFmtId="38" fontId="18" fillId="0" borderId="0" xfId="2" applyFont="1" applyFill="1" applyBorder="1" applyAlignment="1">
      <alignment vertical="center"/>
    </xf>
    <xf numFmtId="38" fontId="3" fillId="0" borderId="0" xfId="2" applyFont="1" applyFill="1" applyAlignment="1">
      <alignment vertical="center"/>
    </xf>
    <xf numFmtId="38" fontId="5" fillId="0" borderId="0" xfId="2" applyFont="1" applyFill="1" applyBorder="1" applyAlignment="1">
      <alignment vertical="center"/>
    </xf>
    <xf numFmtId="38" fontId="5" fillId="0" borderId="0" xfId="2" applyFont="1" applyFill="1" applyAlignment="1">
      <alignment vertical="center"/>
    </xf>
    <xf numFmtId="38" fontId="6" fillId="0" borderId="2" xfId="2" applyFont="1" applyFill="1" applyBorder="1" applyAlignment="1">
      <alignment horizontal="right" vertical="center"/>
    </xf>
    <xf numFmtId="38" fontId="8" fillId="0" borderId="2" xfId="2" applyFont="1" applyFill="1" applyBorder="1" applyAlignment="1">
      <alignment horizontal="left" vertical="center"/>
    </xf>
    <xf numFmtId="38" fontId="4" fillId="0" borderId="0" xfId="2" applyFont="1" applyFill="1" applyAlignment="1">
      <alignment horizontal="right" vertical="center"/>
    </xf>
    <xf numFmtId="38" fontId="4" fillId="0" borderId="0" xfId="2" applyFont="1" applyFill="1" applyAlignment="1">
      <alignment horizontal="right" vertical="center" wrapText="1"/>
    </xf>
    <xf numFmtId="40" fontId="4" fillId="0" borderId="0" xfId="2" applyNumberFormat="1" applyFont="1" applyFill="1" applyAlignment="1">
      <alignment horizontal="center" vertical="center"/>
    </xf>
    <xf numFmtId="38" fontId="12" fillId="0" borderId="0" xfId="2" applyFont="1" applyFill="1" applyBorder="1" applyAlignment="1">
      <alignment horizontal="right" vertical="center"/>
    </xf>
    <xf numFmtId="38" fontId="1" fillId="0" borderId="0" xfId="2" applyFont="1" applyAlignment="1">
      <alignment horizontal="center" vertical="center"/>
    </xf>
    <xf numFmtId="38" fontId="3" fillId="3" borderId="0" xfId="2" applyFont="1" applyFill="1" applyBorder="1" applyAlignment="1">
      <alignment vertical="center"/>
    </xf>
    <xf numFmtId="38" fontId="3" fillId="3" borderId="5" xfId="2" applyFont="1" applyFill="1" applyBorder="1" applyAlignment="1">
      <alignment vertical="center"/>
    </xf>
    <xf numFmtId="38" fontId="5" fillId="3" borderId="3" xfId="2" applyFont="1" applyFill="1" applyBorder="1" applyAlignment="1">
      <alignment horizontal="left" vertical="center"/>
    </xf>
    <xf numFmtId="38" fontId="5" fillId="3" borderId="0" xfId="2" applyFont="1" applyFill="1" applyBorder="1" applyAlignment="1">
      <alignment horizontal="left" vertical="center"/>
    </xf>
    <xf numFmtId="38" fontId="5" fillId="3" borderId="12" xfId="2" applyFont="1" applyFill="1" applyBorder="1" applyAlignment="1">
      <alignment horizontal="left" vertical="center"/>
    </xf>
    <xf numFmtId="38" fontId="5" fillId="3" borderId="8" xfId="2" applyFont="1" applyFill="1" applyBorder="1" applyAlignment="1">
      <alignment horizontal="left" vertical="center"/>
    </xf>
    <xf numFmtId="38" fontId="5" fillId="3" borderId="1" xfId="2" applyFont="1" applyFill="1" applyBorder="1" applyAlignment="1">
      <alignment horizontal="left" vertical="center"/>
    </xf>
    <xf numFmtId="38" fontId="5" fillId="3" borderId="2" xfId="2" applyFont="1" applyFill="1" applyBorder="1" applyAlignment="1">
      <alignment horizontal="left" vertical="center"/>
    </xf>
    <xf numFmtId="181" fontId="21" fillId="0" borderId="0" xfId="2" applyNumberFormat="1" applyFont="1" applyAlignment="1">
      <alignment horizontal="right" vertical="center" shrinkToFit="1"/>
    </xf>
    <xf numFmtId="38" fontId="12" fillId="0" borderId="0" xfId="2" applyFont="1" applyFill="1" applyBorder="1" applyAlignment="1">
      <alignment horizontal="center" vertical="center"/>
    </xf>
    <xf numFmtId="38" fontId="5" fillId="0" borderId="1" xfId="2" applyFont="1" applyFill="1" applyBorder="1" applyAlignment="1">
      <alignment horizontal="left" vertical="center"/>
    </xf>
    <xf numFmtId="38" fontId="5" fillId="0" borderId="2" xfId="2" applyFont="1" applyFill="1" applyBorder="1" applyAlignment="1">
      <alignment horizontal="left" vertical="center"/>
    </xf>
    <xf numFmtId="38" fontId="5" fillId="0" borderId="3" xfId="2" applyFont="1" applyFill="1" applyBorder="1" applyAlignment="1">
      <alignment horizontal="left" vertical="center"/>
    </xf>
    <xf numFmtId="38" fontId="5" fillId="0" borderId="0" xfId="2" applyFont="1" applyFill="1" applyBorder="1" applyAlignment="1">
      <alignment horizontal="left" vertical="center"/>
    </xf>
    <xf numFmtId="38" fontId="5" fillId="0" borderId="12" xfId="2" applyFont="1" applyFill="1" applyBorder="1" applyAlignment="1">
      <alignment horizontal="left" vertical="center"/>
    </xf>
    <xf numFmtId="38" fontId="5" fillId="0" borderId="8" xfId="2" applyFont="1" applyFill="1" applyBorder="1" applyAlignment="1">
      <alignment horizontal="left" vertical="center"/>
    </xf>
    <xf numFmtId="38" fontId="12" fillId="0" borderId="0" xfId="2" applyFont="1" applyFill="1" applyAlignment="1">
      <alignment horizontal="right" vertical="center"/>
    </xf>
    <xf numFmtId="38" fontId="11" fillId="0" borderId="19" xfId="2" applyFont="1" applyFill="1" applyBorder="1" applyAlignment="1">
      <alignment horizontal="left" vertical="center"/>
    </xf>
    <xf numFmtId="38" fontId="11" fillId="0" borderId="13" xfId="2" applyFont="1" applyFill="1" applyBorder="1" applyAlignment="1">
      <alignment horizontal="left" vertical="center"/>
    </xf>
    <xf numFmtId="38" fontId="11" fillId="0" borderId="14" xfId="2" applyFont="1" applyFill="1" applyBorder="1" applyAlignment="1">
      <alignment horizontal="left" vertical="center"/>
    </xf>
    <xf numFmtId="38" fontId="5" fillId="0" borderId="0" xfId="2" applyFont="1" applyFill="1" applyBorder="1" applyAlignment="1">
      <alignment horizontal="center" vertical="center"/>
    </xf>
    <xf numFmtId="38" fontId="18" fillId="0" borderId="0" xfId="2" applyFont="1" applyFill="1" applyBorder="1" applyAlignment="1">
      <alignment vertical="center"/>
    </xf>
    <xf numFmtId="38" fontId="3" fillId="0" borderId="0" xfId="2" applyFont="1" applyFill="1" applyAlignment="1">
      <alignment vertical="center"/>
    </xf>
    <xf numFmtId="38" fontId="5" fillId="0" borderId="0" xfId="2" applyFont="1" applyFill="1" applyBorder="1" applyAlignment="1">
      <alignment vertical="center"/>
    </xf>
    <xf numFmtId="38" fontId="5" fillId="0" borderId="0" xfId="2" applyFont="1" applyFill="1" applyAlignment="1">
      <alignment vertical="center"/>
    </xf>
    <xf numFmtId="38" fontId="8" fillId="0" borderId="2" xfId="2" applyFont="1" applyFill="1" applyBorder="1" applyAlignment="1">
      <alignment horizontal="left" vertical="center"/>
    </xf>
    <xf numFmtId="38" fontId="6" fillId="0" borderId="2" xfId="2" applyFont="1" applyFill="1" applyBorder="1" applyAlignment="1">
      <alignment horizontal="right" vertical="center"/>
    </xf>
    <xf numFmtId="38" fontId="4" fillId="0" borderId="0" xfId="2" applyFont="1" applyFill="1" applyAlignment="1">
      <alignment horizontal="right" vertical="center"/>
    </xf>
    <xf numFmtId="38" fontId="4" fillId="0" borderId="0" xfId="2" applyFont="1" applyFill="1" applyAlignment="1">
      <alignment horizontal="right" vertical="center" wrapText="1"/>
    </xf>
    <xf numFmtId="38" fontId="5" fillId="0" borderId="0" xfId="2" applyFont="1" applyFill="1" applyBorder="1" applyAlignment="1">
      <alignment horizontal="left" vertical="center"/>
    </xf>
    <xf numFmtId="38" fontId="5" fillId="0" borderId="0" xfId="2" applyFont="1" applyFill="1" applyBorder="1" applyAlignment="1">
      <alignment horizontal="center" vertical="center"/>
    </xf>
    <xf numFmtId="38" fontId="18" fillId="0" borderId="0" xfId="2" applyFont="1" applyFill="1" applyBorder="1" applyAlignment="1">
      <alignment vertical="center"/>
    </xf>
    <xf numFmtId="38" fontId="5" fillId="0" borderId="0" xfId="2" applyFont="1" applyFill="1" applyBorder="1" applyAlignment="1">
      <alignment vertical="center"/>
    </xf>
    <xf numFmtId="38" fontId="0" fillId="3" borderId="0" xfId="2" applyFont="1" applyFill="1" applyAlignment="1">
      <alignment horizontal="left" vertical="center"/>
    </xf>
    <xf numFmtId="40" fontId="4" fillId="0" borderId="0" xfId="2" applyNumberFormat="1" applyFont="1" applyFill="1" applyAlignment="1">
      <alignment horizontal="center" vertical="center"/>
    </xf>
    <xf numFmtId="38" fontId="12" fillId="0" borderId="0" xfId="2" applyFont="1" applyFill="1" applyBorder="1" applyAlignment="1">
      <alignment horizontal="right" vertical="center"/>
    </xf>
    <xf numFmtId="38" fontId="1" fillId="0" borderId="0" xfId="2" applyFont="1" applyAlignment="1">
      <alignment horizontal="center" vertical="center"/>
    </xf>
    <xf numFmtId="38" fontId="3" fillId="3" borderId="0" xfId="2" applyFont="1" applyFill="1" applyBorder="1" applyAlignment="1">
      <alignment vertical="center"/>
    </xf>
    <xf numFmtId="38" fontId="3" fillId="3" borderId="5" xfId="2" applyFont="1" applyFill="1" applyBorder="1" applyAlignment="1">
      <alignment vertical="center"/>
    </xf>
    <xf numFmtId="38" fontId="5" fillId="3" borderId="3" xfId="2" applyFont="1" applyFill="1" applyBorder="1" applyAlignment="1">
      <alignment horizontal="left" vertical="center"/>
    </xf>
    <xf numFmtId="38" fontId="5" fillId="3" borderId="0" xfId="2" applyFont="1" applyFill="1" applyBorder="1" applyAlignment="1">
      <alignment horizontal="left" vertical="center"/>
    </xf>
    <xf numFmtId="38" fontId="5" fillId="3" borderId="12" xfId="2" applyFont="1" applyFill="1" applyBorder="1" applyAlignment="1">
      <alignment horizontal="left" vertical="center"/>
    </xf>
    <xf numFmtId="38" fontId="5" fillId="3" borderId="8" xfId="2" applyFont="1" applyFill="1" applyBorder="1" applyAlignment="1">
      <alignment horizontal="left" vertical="center"/>
    </xf>
    <xf numFmtId="38" fontId="5" fillId="3" borderId="1" xfId="2" applyFont="1" applyFill="1" applyBorder="1" applyAlignment="1">
      <alignment horizontal="left" vertical="center"/>
    </xf>
    <xf numFmtId="38" fontId="5" fillId="3" borderId="2" xfId="2" applyFont="1" applyFill="1" applyBorder="1" applyAlignment="1">
      <alignment horizontal="left" vertical="center"/>
    </xf>
    <xf numFmtId="181" fontId="21" fillId="0" borderId="0" xfId="2" applyNumberFormat="1" applyFont="1" applyAlignment="1">
      <alignment horizontal="right" vertical="center" shrinkToFit="1"/>
    </xf>
    <xf numFmtId="38" fontId="12" fillId="0" borderId="0" xfId="2" applyFont="1" applyFill="1" applyBorder="1" applyAlignment="1">
      <alignment horizontal="center" vertical="center"/>
    </xf>
    <xf numFmtId="38" fontId="12" fillId="0" borderId="0" xfId="2" applyFont="1" applyFill="1" applyAlignment="1">
      <alignment horizontal="right" vertical="center"/>
    </xf>
    <xf numFmtId="38" fontId="11" fillId="0" borderId="19" xfId="2" applyFont="1" applyFill="1" applyBorder="1" applyAlignment="1">
      <alignment horizontal="left" vertical="center"/>
    </xf>
    <xf numFmtId="38" fontId="11" fillId="0" borderId="13" xfId="2" applyFont="1" applyFill="1" applyBorder="1" applyAlignment="1">
      <alignment horizontal="left" vertical="center"/>
    </xf>
    <xf numFmtId="38" fontId="11" fillId="0" borderId="14" xfId="2" applyFont="1" applyFill="1" applyBorder="1" applyAlignment="1">
      <alignment horizontal="left" vertical="center"/>
    </xf>
    <xf numFmtId="38" fontId="5" fillId="0" borderId="3" xfId="2" applyFont="1" applyFill="1" applyBorder="1" applyAlignment="1">
      <alignment horizontal="left" vertical="center"/>
    </xf>
    <xf numFmtId="38" fontId="5" fillId="0" borderId="0" xfId="2" applyFont="1" applyFill="1" applyBorder="1" applyAlignment="1">
      <alignment horizontal="left" vertical="center"/>
    </xf>
    <xf numFmtId="38" fontId="5" fillId="0" borderId="12" xfId="2" applyFont="1" applyFill="1" applyBorder="1" applyAlignment="1">
      <alignment horizontal="left" vertical="center"/>
    </xf>
    <xf numFmtId="38" fontId="5" fillId="0" borderId="8" xfId="2" applyFont="1" applyFill="1" applyBorder="1" applyAlignment="1">
      <alignment horizontal="left" vertical="center"/>
    </xf>
    <xf numFmtId="38" fontId="5" fillId="0" borderId="1" xfId="2" applyFont="1" applyFill="1" applyBorder="1" applyAlignment="1">
      <alignment horizontal="left" vertical="center"/>
    </xf>
    <xf numFmtId="38" fontId="5" fillId="0" borderId="2" xfId="2" applyFont="1" applyFill="1" applyBorder="1" applyAlignment="1">
      <alignment horizontal="left" vertical="center"/>
    </xf>
    <xf numFmtId="38" fontId="5" fillId="0" borderId="0" xfId="2" applyFont="1" applyFill="1" applyBorder="1" applyAlignment="1">
      <alignment horizontal="center" vertical="center"/>
    </xf>
    <xf numFmtId="38" fontId="18" fillId="0" borderId="0" xfId="2" applyFont="1" applyFill="1" applyBorder="1" applyAlignment="1">
      <alignment vertical="center"/>
    </xf>
    <xf numFmtId="38" fontId="3" fillId="0" borderId="0" xfId="2" applyFont="1" applyFill="1" applyAlignment="1">
      <alignment vertical="center"/>
    </xf>
    <xf numFmtId="38" fontId="5" fillId="0" borderId="0" xfId="2" applyFont="1" applyFill="1" applyBorder="1" applyAlignment="1">
      <alignment vertical="center"/>
    </xf>
    <xf numFmtId="38" fontId="5" fillId="0" borderId="0" xfId="2" applyFont="1" applyFill="1" applyAlignment="1">
      <alignment vertical="center"/>
    </xf>
    <xf numFmtId="38" fontId="6" fillId="0" borderId="2" xfId="2" applyFont="1" applyFill="1" applyBorder="1" applyAlignment="1">
      <alignment horizontal="right" vertical="center"/>
    </xf>
    <xf numFmtId="38" fontId="8" fillId="0" borderId="2" xfId="2" applyFont="1" applyFill="1" applyBorder="1" applyAlignment="1">
      <alignment horizontal="left" vertical="center"/>
    </xf>
    <xf numFmtId="38" fontId="4" fillId="0" borderId="0" xfId="2" applyFont="1" applyFill="1" applyAlignment="1">
      <alignment horizontal="right" vertical="center"/>
    </xf>
    <xf numFmtId="38" fontId="4" fillId="0" borderId="0" xfId="2" applyFont="1" applyFill="1" applyAlignment="1">
      <alignment horizontal="right" vertical="center" wrapText="1"/>
    </xf>
    <xf numFmtId="38" fontId="5" fillId="3" borderId="1" xfId="2" applyFont="1" applyFill="1" applyBorder="1" applyAlignment="1">
      <alignment horizontal="left" vertical="center"/>
    </xf>
    <xf numFmtId="38" fontId="5" fillId="3" borderId="2" xfId="2" applyFont="1" applyFill="1" applyBorder="1" applyAlignment="1">
      <alignment horizontal="left" vertical="center"/>
    </xf>
    <xf numFmtId="38" fontId="5" fillId="3" borderId="3" xfId="2" applyFont="1" applyFill="1" applyBorder="1" applyAlignment="1">
      <alignment horizontal="left" vertical="center"/>
    </xf>
    <xf numFmtId="38" fontId="5" fillId="3" borderId="0" xfId="2" applyFont="1" applyFill="1" applyBorder="1" applyAlignment="1">
      <alignment horizontal="left" vertical="center"/>
    </xf>
    <xf numFmtId="38" fontId="5" fillId="3" borderId="12" xfId="2" applyFont="1" applyFill="1" applyBorder="1" applyAlignment="1">
      <alignment horizontal="left" vertical="center"/>
    </xf>
    <xf numFmtId="38" fontId="5" fillId="3" borderId="8" xfId="2" applyFont="1" applyFill="1" applyBorder="1" applyAlignment="1">
      <alignment horizontal="left" vertical="center"/>
    </xf>
    <xf numFmtId="40" fontId="4" fillId="0" borderId="0" xfId="2" applyNumberFormat="1" applyFont="1" applyFill="1" applyAlignment="1">
      <alignment horizontal="center" vertical="center"/>
    </xf>
    <xf numFmtId="38" fontId="0" fillId="3" borderId="0" xfId="2" applyFont="1" applyFill="1" applyAlignment="1">
      <alignment horizontal="left" vertical="center"/>
    </xf>
    <xf numFmtId="38" fontId="12" fillId="0" borderId="0" xfId="2" applyFont="1" applyFill="1" applyBorder="1" applyAlignment="1">
      <alignment horizontal="right" vertical="center"/>
    </xf>
    <xf numFmtId="38" fontId="1" fillId="0" borderId="0" xfId="2" applyFont="1" applyAlignment="1">
      <alignment horizontal="center" vertical="center"/>
    </xf>
    <xf numFmtId="38" fontId="3" fillId="3" borderId="0" xfId="2" applyFont="1" applyFill="1" applyBorder="1" applyAlignment="1">
      <alignment vertical="center"/>
    </xf>
    <xf numFmtId="38" fontId="3" fillId="3" borderId="5" xfId="2" applyFont="1" applyFill="1" applyBorder="1" applyAlignment="1">
      <alignment vertical="center"/>
    </xf>
    <xf numFmtId="38" fontId="5" fillId="3" borderId="3" xfId="2" applyFont="1" applyFill="1" applyBorder="1" applyAlignment="1">
      <alignment horizontal="left" vertical="center"/>
    </xf>
    <xf numFmtId="38" fontId="5" fillId="3" borderId="0" xfId="2" applyFont="1" applyFill="1" applyBorder="1" applyAlignment="1">
      <alignment horizontal="left" vertical="center"/>
    </xf>
    <xf numFmtId="38" fontId="5" fillId="3" borderId="12" xfId="2" applyFont="1" applyFill="1" applyBorder="1" applyAlignment="1">
      <alignment horizontal="left" vertical="center"/>
    </xf>
    <xf numFmtId="38" fontId="5" fillId="3" borderId="8" xfId="2" applyFont="1" applyFill="1" applyBorder="1" applyAlignment="1">
      <alignment horizontal="left" vertical="center"/>
    </xf>
    <xf numFmtId="38" fontId="5" fillId="3" borderId="1" xfId="2" applyFont="1" applyFill="1" applyBorder="1" applyAlignment="1">
      <alignment horizontal="left" vertical="center"/>
    </xf>
    <xf numFmtId="38" fontId="5" fillId="3" borderId="2" xfId="2" applyFont="1" applyFill="1" applyBorder="1" applyAlignment="1">
      <alignment horizontal="left" vertical="center"/>
    </xf>
    <xf numFmtId="181" fontId="21" fillId="0" borderId="0" xfId="2" applyNumberFormat="1" applyFont="1" applyAlignment="1">
      <alignment horizontal="right" vertical="center" shrinkToFit="1"/>
    </xf>
    <xf numFmtId="38" fontId="12" fillId="0" borderId="0" xfId="2" applyFont="1" applyFill="1" applyBorder="1" applyAlignment="1">
      <alignment horizontal="center" vertical="center"/>
    </xf>
    <xf numFmtId="38" fontId="5" fillId="0" borderId="1" xfId="2" applyFont="1" applyFill="1" applyBorder="1" applyAlignment="1">
      <alignment horizontal="left" vertical="center"/>
    </xf>
    <xf numFmtId="38" fontId="5" fillId="0" borderId="2" xfId="2" applyFont="1" applyFill="1" applyBorder="1" applyAlignment="1">
      <alignment horizontal="left" vertical="center"/>
    </xf>
    <xf numFmtId="38" fontId="5" fillId="0" borderId="3" xfId="2" applyFont="1" applyFill="1" applyBorder="1" applyAlignment="1">
      <alignment horizontal="left" vertical="center"/>
    </xf>
    <xf numFmtId="38" fontId="5" fillId="0" borderId="0" xfId="2" applyFont="1" applyFill="1" applyBorder="1" applyAlignment="1">
      <alignment horizontal="left" vertical="center"/>
    </xf>
    <xf numFmtId="38" fontId="5" fillId="0" borderId="12" xfId="2" applyFont="1" applyFill="1" applyBorder="1" applyAlignment="1">
      <alignment horizontal="left" vertical="center"/>
    </xf>
    <xf numFmtId="38" fontId="5" fillId="0" borderId="8" xfId="2" applyFont="1" applyFill="1" applyBorder="1" applyAlignment="1">
      <alignment horizontal="left" vertical="center"/>
    </xf>
    <xf numFmtId="38" fontId="12" fillId="0" borderId="0" xfId="2" applyFont="1" applyFill="1" applyAlignment="1">
      <alignment horizontal="right" vertical="center"/>
    </xf>
    <xf numFmtId="38" fontId="11" fillId="0" borderId="19" xfId="2" applyFont="1" applyFill="1" applyBorder="1" applyAlignment="1">
      <alignment horizontal="left" vertical="center"/>
    </xf>
    <xf numFmtId="38" fontId="11" fillId="0" borderId="13" xfId="2" applyFont="1" applyFill="1" applyBorder="1" applyAlignment="1">
      <alignment horizontal="left" vertical="center"/>
    </xf>
    <xf numFmtId="38" fontId="11" fillId="0" borderId="14" xfId="2" applyFont="1" applyFill="1" applyBorder="1" applyAlignment="1">
      <alignment horizontal="left" vertical="center"/>
    </xf>
    <xf numFmtId="38" fontId="5" fillId="0" borderId="0" xfId="2" applyFont="1" applyFill="1" applyBorder="1" applyAlignment="1">
      <alignment horizontal="center" vertical="center"/>
    </xf>
    <xf numFmtId="38" fontId="18" fillId="0" borderId="0" xfId="2" applyFont="1" applyFill="1" applyBorder="1" applyAlignment="1">
      <alignment vertical="center"/>
    </xf>
    <xf numFmtId="38" fontId="3" fillId="0" borderId="0" xfId="2" applyFont="1" applyFill="1" applyAlignment="1">
      <alignment vertical="center"/>
    </xf>
    <xf numFmtId="38" fontId="5" fillId="0" borderId="0" xfId="2" applyFont="1" applyFill="1" applyBorder="1" applyAlignment="1">
      <alignment vertical="center"/>
    </xf>
    <xf numFmtId="38" fontId="5" fillId="0" borderId="0" xfId="2" applyFont="1" applyFill="1" applyAlignment="1">
      <alignment vertical="center"/>
    </xf>
    <xf numFmtId="38" fontId="8" fillId="0" borderId="2" xfId="2" applyFont="1" applyFill="1" applyBorder="1" applyAlignment="1">
      <alignment horizontal="left" vertical="center"/>
    </xf>
    <xf numFmtId="38" fontId="6" fillId="0" borderId="2" xfId="2" applyFont="1" applyFill="1" applyBorder="1" applyAlignment="1">
      <alignment horizontal="right" vertical="center"/>
    </xf>
    <xf numFmtId="38" fontId="4" fillId="0" borderId="0" xfId="2" applyFont="1" applyFill="1" applyAlignment="1">
      <alignment horizontal="right" vertical="center"/>
    </xf>
    <xf numFmtId="38" fontId="4" fillId="0" borderId="0" xfId="2" applyFont="1" applyFill="1" applyAlignment="1">
      <alignment horizontal="right" vertical="center" wrapText="1"/>
    </xf>
    <xf numFmtId="38" fontId="5" fillId="3" borderId="2" xfId="2" applyFont="1" applyFill="1" applyBorder="1" applyAlignment="1">
      <alignment horizontal="center" vertical="center"/>
    </xf>
    <xf numFmtId="38" fontId="3" fillId="0" borderId="0" xfId="2" applyFont="1" applyFill="1" applyAlignment="1">
      <alignment vertical="center"/>
    </xf>
    <xf numFmtId="38" fontId="5" fillId="0" borderId="2" xfId="2" applyFont="1" applyFill="1" applyBorder="1" applyAlignment="1">
      <alignment horizontal="left" vertical="center"/>
    </xf>
    <xf numFmtId="38" fontId="3" fillId="0" borderId="0" xfId="2" applyFont="1" applyFill="1" applyAlignment="1">
      <alignment vertical="center"/>
    </xf>
    <xf numFmtId="38" fontId="1" fillId="3" borderId="0" xfId="2" applyFont="1" applyFill="1" applyAlignment="1">
      <alignment horizontal="left" vertical="center"/>
    </xf>
    <xf numFmtId="38" fontId="4" fillId="0" borderId="0" xfId="2" applyFont="1" applyFill="1" applyAlignment="1">
      <alignment horizontal="right" vertical="center"/>
    </xf>
    <xf numFmtId="38" fontId="4" fillId="0" borderId="0" xfId="2" applyFont="1" applyFill="1" applyAlignment="1">
      <alignment horizontal="right" vertical="center" wrapText="1"/>
    </xf>
    <xf numFmtId="40" fontId="4" fillId="0" borderId="0" xfId="2" applyNumberFormat="1" applyFont="1" applyFill="1" applyAlignment="1">
      <alignment horizontal="center" vertical="center"/>
    </xf>
    <xf numFmtId="38" fontId="0" fillId="3" borderId="0" xfId="2" applyFont="1" applyFill="1" applyAlignment="1">
      <alignment horizontal="left" vertical="center"/>
    </xf>
    <xf numFmtId="38" fontId="12" fillId="0" borderId="0" xfId="2" applyFont="1" applyFill="1" applyBorder="1" applyAlignment="1">
      <alignment horizontal="right" vertical="center"/>
    </xf>
    <xf numFmtId="38" fontId="1" fillId="0" borderId="0" xfId="2" applyFont="1" applyAlignment="1">
      <alignment horizontal="center" vertical="center"/>
    </xf>
    <xf numFmtId="38" fontId="3" fillId="3" borderId="0" xfId="2" applyFont="1" applyFill="1" applyBorder="1" applyAlignment="1">
      <alignment vertical="center"/>
    </xf>
    <xf numFmtId="38" fontId="3" fillId="3" borderId="5" xfId="2" applyFont="1" applyFill="1" applyBorder="1" applyAlignment="1">
      <alignment vertical="center"/>
    </xf>
    <xf numFmtId="38" fontId="5" fillId="3" borderId="3" xfId="2" applyFont="1" applyFill="1" applyBorder="1" applyAlignment="1">
      <alignment horizontal="left" vertical="center"/>
    </xf>
    <xf numFmtId="38" fontId="5" fillId="3" borderId="0" xfId="2" applyFont="1" applyFill="1" applyBorder="1" applyAlignment="1">
      <alignment horizontal="left" vertical="center"/>
    </xf>
    <xf numFmtId="38" fontId="5" fillId="3" borderId="12" xfId="2" applyFont="1" applyFill="1" applyBorder="1" applyAlignment="1">
      <alignment horizontal="left" vertical="center"/>
    </xf>
    <xf numFmtId="38" fontId="5" fillId="3" borderId="8" xfId="2" applyFont="1" applyFill="1" applyBorder="1" applyAlignment="1">
      <alignment horizontal="left" vertical="center"/>
    </xf>
    <xf numFmtId="38" fontId="5" fillId="3" borderId="1" xfId="2" applyFont="1" applyFill="1" applyBorder="1" applyAlignment="1">
      <alignment horizontal="left" vertical="center"/>
    </xf>
    <xf numFmtId="38" fontId="5" fillId="3" borderId="2" xfId="2" applyFont="1" applyFill="1" applyBorder="1" applyAlignment="1">
      <alignment horizontal="left" vertical="center"/>
    </xf>
    <xf numFmtId="181" fontId="21" fillId="0" borderId="0" xfId="2" applyNumberFormat="1" applyFont="1" applyAlignment="1">
      <alignment horizontal="right" vertical="center" shrinkToFit="1"/>
    </xf>
    <xf numFmtId="38" fontId="12" fillId="0" borderId="0" xfId="2" applyFont="1" applyFill="1" applyBorder="1" applyAlignment="1">
      <alignment horizontal="center" vertical="center"/>
    </xf>
    <xf numFmtId="38" fontId="12" fillId="0" borderId="0" xfId="2" applyFont="1" applyFill="1" applyAlignment="1">
      <alignment horizontal="right" vertical="center"/>
    </xf>
    <xf numFmtId="38" fontId="11" fillId="0" borderId="19" xfId="2" applyFont="1" applyFill="1" applyBorder="1" applyAlignment="1">
      <alignment horizontal="left" vertical="center"/>
    </xf>
    <xf numFmtId="38" fontId="11" fillId="0" borderId="13" xfId="2" applyFont="1" applyFill="1" applyBorder="1" applyAlignment="1">
      <alignment horizontal="left" vertical="center"/>
    </xf>
    <xf numFmtId="38" fontId="11" fillId="0" borderId="14" xfId="2" applyFont="1" applyFill="1" applyBorder="1" applyAlignment="1">
      <alignment horizontal="left" vertical="center"/>
    </xf>
    <xf numFmtId="38" fontId="5" fillId="0" borderId="3" xfId="2" applyFont="1" applyFill="1" applyBorder="1" applyAlignment="1">
      <alignment horizontal="left" vertical="center"/>
    </xf>
    <xf numFmtId="38" fontId="5" fillId="0" borderId="0" xfId="2" applyFont="1" applyFill="1" applyBorder="1" applyAlignment="1">
      <alignment horizontal="left" vertical="center"/>
    </xf>
    <xf numFmtId="38" fontId="5" fillId="0" borderId="12" xfId="2" applyFont="1" applyFill="1" applyBorder="1" applyAlignment="1">
      <alignment horizontal="left" vertical="center"/>
    </xf>
    <xf numFmtId="38" fontId="5" fillId="0" borderId="8" xfId="2" applyFont="1" applyFill="1" applyBorder="1" applyAlignment="1">
      <alignment horizontal="left" vertical="center"/>
    </xf>
    <xf numFmtId="38" fontId="5" fillId="0" borderId="1" xfId="2" applyFont="1" applyFill="1" applyBorder="1" applyAlignment="1">
      <alignment horizontal="left" vertical="center"/>
    </xf>
    <xf numFmtId="38" fontId="5" fillId="0" borderId="2" xfId="2" applyFont="1" applyFill="1" applyBorder="1" applyAlignment="1">
      <alignment horizontal="left" vertical="center"/>
    </xf>
    <xf numFmtId="38" fontId="5" fillId="0" borderId="0" xfId="2" applyFont="1" applyFill="1" applyBorder="1" applyAlignment="1">
      <alignment horizontal="center" vertical="center"/>
    </xf>
    <xf numFmtId="38" fontId="18" fillId="0" borderId="0" xfId="2" applyFont="1" applyFill="1" applyBorder="1" applyAlignment="1">
      <alignment vertical="center"/>
    </xf>
    <xf numFmtId="38" fontId="3" fillId="0" borderId="0" xfId="2" applyFont="1" applyFill="1" applyAlignment="1">
      <alignment vertical="center"/>
    </xf>
    <xf numFmtId="38" fontId="5" fillId="0" borderId="0" xfId="2" applyFont="1" applyFill="1" applyBorder="1" applyAlignment="1">
      <alignment vertical="center"/>
    </xf>
    <xf numFmtId="38" fontId="5" fillId="0" borderId="0" xfId="2" applyFont="1" applyFill="1" applyAlignment="1">
      <alignment vertical="center"/>
    </xf>
    <xf numFmtId="38" fontId="6" fillId="0" borderId="2" xfId="2" applyFont="1" applyFill="1" applyBorder="1" applyAlignment="1">
      <alignment horizontal="right" vertical="center"/>
    </xf>
    <xf numFmtId="38" fontId="8" fillId="0" borderId="2" xfId="2" applyFont="1" applyFill="1" applyBorder="1" applyAlignment="1">
      <alignment horizontal="left" vertical="center"/>
    </xf>
    <xf numFmtId="181" fontId="21" fillId="0" borderId="0" xfId="2" applyNumberFormat="1" applyFont="1" applyAlignment="1">
      <alignment horizontal="right" vertical="center" shrinkToFit="1"/>
    </xf>
    <xf numFmtId="38" fontId="3" fillId="3" borderId="0" xfId="2" applyFont="1" applyFill="1" applyBorder="1" applyAlignment="1">
      <alignment vertical="center"/>
    </xf>
    <xf numFmtId="38" fontId="3" fillId="3" borderId="5" xfId="2" applyFont="1" applyFill="1" applyBorder="1" applyAlignment="1">
      <alignment vertical="center"/>
    </xf>
    <xf numFmtId="38" fontId="5" fillId="3" borderId="1" xfId="2" applyFont="1" applyFill="1" applyBorder="1" applyAlignment="1">
      <alignment horizontal="left" vertical="center"/>
    </xf>
    <xf numFmtId="38" fontId="5" fillId="3" borderId="2" xfId="2" applyFont="1" applyFill="1" applyBorder="1" applyAlignment="1">
      <alignment horizontal="left" vertical="center"/>
    </xf>
    <xf numFmtId="38" fontId="5" fillId="3" borderId="3" xfId="2" applyFont="1" applyFill="1" applyBorder="1" applyAlignment="1">
      <alignment horizontal="left" vertical="center"/>
    </xf>
    <xf numFmtId="38" fontId="5" fillId="3" borderId="0" xfId="2" applyFont="1" applyFill="1" applyBorder="1" applyAlignment="1">
      <alignment horizontal="left" vertical="center"/>
    </xf>
    <xf numFmtId="38" fontId="5" fillId="3" borderId="12" xfId="2" applyFont="1" applyFill="1" applyBorder="1" applyAlignment="1">
      <alignment horizontal="left" vertical="center"/>
    </xf>
    <xf numFmtId="38" fontId="5" fillId="3" borderId="8" xfId="2" applyFont="1" applyFill="1" applyBorder="1" applyAlignment="1">
      <alignment horizontal="left" vertical="center"/>
    </xf>
    <xf numFmtId="38" fontId="1" fillId="0" borderId="0" xfId="2" applyFont="1" applyAlignment="1">
      <alignment horizontal="center" vertical="center"/>
    </xf>
    <xf numFmtId="38" fontId="12" fillId="0" borderId="0" xfId="2" applyFont="1" applyFill="1" applyBorder="1" applyAlignment="1">
      <alignment horizontal="right" vertical="center"/>
    </xf>
    <xf numFmtId="40" fontId="4" fillId="0" borderId="0" xfId="2" applyNumberFormat="1" applyFont="1" applyFill="1" applyAlignment="1">
      <alignment horizontal="center" vertical="center"/>
    </xf>
    <xf numFmtId="38" fontId="0" fillId="3" borderId="0" xfId="2" applyFont="1" applyFill="1" applyAlignment="1">
      <alignment horizontal="left" vertical="center"/>
    </xf>
    <xf numFmtId="38" fontId="4" fillId="0" borderId="0" xfId="2" applyFont="1" applyFill="1" applyAlignment="1">
      <alignment horizontal="right" vertical="center"/>
    </xf>
    <xf numFmtId="38" fontId="4" fillId="0" borderId="0" xfId="2" applyFont="1" applyFill="1" applyAlignment="1">
      <alignment horizontal="right" vertical="center" wrapText="1"/>
    </xf>
    <xf numFmtId="38" fontId="12" fillId="0" borderId="0" xfId="2" applyFont="1" applyFill="1" applyBorder="1" applyAlignment="1">
      <alignment horizontal="center" vertical="center"/>
    </xf>
    <xf numFmtId="38" fontId="12" fillId="0" borderId="0" xfId="2" applyFont="1" applyFill="1" applyAlignment="1">
      <alignment horizontal="right" vertical="center"/>
    </xf>
    <xf numFmtId="38" fontId="11" fillId="0" borderId="19" xfId="2" applyFont="1" applyFill="1" applyBorder="1" applyAlignment="1">
      <alignment horizontal="left" vertical="center"/>
    </xf>
    <xf numFmtId="38" fontId="11" fillId="0" borderId="13" xfId="2" applyFont="1" applyFill="1" applyBorder="1" applyAlignment="1">
      <alignment horizontal="left" vertical="center"/>
    </xf>
    <xf numFmtId="38" fontId="11" fillId="0" borderId="14" xfId="2" applyFont="1" applyFill="1" applyBorder="1" applyAlignment="1">
      <alignment horizontal="left" vertical="center"/>
    </xf>
    <xf numFmtId="38" fontId="5" fillId="0" borderId="3" xfId="2" applyFont="1" applyFill="1" applyBorder="1" applyAlignment="1">
      <alignment horizontal="left" vertical="center"/>
    </xf>
    <xf numFmtId="38" fontId="5" fillId="0" borderId="0" xfId="2" applyFont="1" applyFill="1" applyBorder="1" applyAlignment="1">
      <alignment horizontal="left" vertical="center"/>
    </xf>
    <xf numFmtId="38" fontId="5" fillId="0" borderId="12" xfId="2" applyFont="1" applyFill="1" applyBorder="1" applyAlignment="1">
      <alignment horizontal="left" vertical="center"/>
    </xf>
    <xf numFmtId="38" fontId="5" fillId="0" borderId="8" xfId="2" applyFont="1" applyFill="1" applyBorder="1" applyAlignment="1">
      <alignment horizontal="left" vertical="center"/>
    </xf>
    <xf numFmtId="38" fontId="5" fillId="0" borderId="1" xfId="2" applyFont="1" applyFill="1" applyBorder="1" applyAlignment="1">
      <alignment horizontal="left" vertical="center"/>
    </xf>
    <xf numFmtId="38" fontId="5" fillId="0" borderId="2" xfId="2" applyFont="1" applyFill="1" applyBorder="1" applyAlignment="1">
      <alignment horizontal="left" vertical="center"/>
    </xf>
    <xf numFmtId="38" fontId="5" fillId="0" borderId="0" xfId="2" applyFont="1" applyFill="1" applyBorder="1" applyAlignment="1">
      <alignment horizontal="center" vertical="center"/>
    </xf>
    <xf numFmtId="38" fontId="18" fillId="0" borderId="0" xfId="2" applyFont="1" applyFill="1" applyBorder="1" applyAlignment="1">
      <alignment vertical="center"/>
    </xf>
    <xf numFmtId="38" fontId="3" fillId="0" borderId="0" xfId="2" applyFont="1" applyFill="1" applyAlignment="1">
      <alignment vertical="center"/>
    </xf>
    <xf numFmtId="38" fontId="5" fillId="0" borderId="0" xfId="2" applyFont="1" applyFill="1" applyBorder="1" applyAlignment="1">
      <alignment vertical="center"/>
    </xf>
    <xf numFmtId="38" fontId="5" fillId="0" borderId="0" xfId="2" applyFont="1" applyFill="1" applyAlignment="1">
      <alignment vertical="center"/>
    </xf>
    <xf numFmtId="38" fontId="6" fillId="0" borderId="2" xfId="2" applyFont="1" applyFill="1" applyBorder="1" applyAlignment="1">
      <alignment horizontal="right" vertical="center"/>
    </xf>
    <xf numFmtId="38" fontId="8" fillId="0" borderId="2" xfId="2" applyFont="1" applyFill="1" applyBorder="1" applyAlignment="1">
      <alignment horizontal="left" vertical="center"/>
    </xf>
    <xf numFmtId="40" fontId="4" fillId="0" borderId="0" xfId="2" applyNumberFormat="1" applyFont="1" applyFill="1" applyAlignment="1">
      <alignment horizontal="center" vertical="center"/>
    </xf>
    <xf numFmtId="38" fontId="0" fillId="3" borderId="0" xfId="2" applyFont="1" applyFill="1" applyAlignment="1">
      <alignment horizontal="left" vertical="center"/>
    </xf>
    <xf numFmtId="38" fontId="12" fillId="0" borderId="0" xfId="2" applyFont="1" applyFill="1" applyBorder="1" applyAlignment="1">
      <alignment horizontal="right" vertical="center"/>
    </xf>
    <xf numFmtId="38" fontId="1" fillId="0" borderId="0" xfId="2" applyFont="1" applyAlignment="1">
      <alignment horizontal="center" vertical="center"/>
    </xf>
    <xf numFmtId="38" fontId="3" fillId="3" borderId="0" xfId="2" applyFont="1" applyFill="1" applyBorder="1" applyAlignment="1">
      <alignment vertical="center"/>
    </xf>
    <xf numFmtId="38" fontId="3" fillId="3" borderId="5" xfId="2" applyFont="1" applyFill="1" applyBorder="1" applyAlignment="1">
      <alignment vertical="center"/>
    </xf>
    <xf numFmtId="38" fontId="5" fillId="3" borderId="3" xfId="2" applyFont="1" applyFill="1" applyBorder="1" applyAlignment="1">
      <alignment horizontal="left" vertical="center"/>
    </xf>
    <xf numFmtId="38" fontId="5" fillId="3" borderId="0" xfId="2" applyFont="1" applyFill="1" applyBorder="1" applyAlignment="1">
      <alignment horizontal="left" vertical="center"/>
    </xf>
    <xf numFmtId="38" fontId="5" fillId="3" borderId="12" xfId="2" applyFont="1" applyFill="1" applyBorder="1" applyAlignment="1">
      <alignment horizontal="left" vertical="center"/>
    </xf>
    <xf numFmtId="38" fontId="5" fillId="3" borderId="8" xfId="2" applyFont="1" applyFill="1" applyBorder="1" applyAlignment="1">
      <alignment horizontal="left" vertical="center"/>
    </xf>
    <xf numFmtId="38" fontId="5" fillId="3" borderId="1" xfId="2" applyFont="1" applyFill="1" applyBorder="1" applyAlignment="1">
      <alignment horizontal="left" vertical="center"/>
    </xf>
    <xf numFmtId="38" fontId="5" fillId="3" borderId="2" xfId="2" applyFont="1" applyFill="1" applyBorder="1" applyAlignment="1">
      <alignment horizontal="left" vertical="center"/>
    </xf>
    <xf numFmtId="181" fontId="21" fillId="0" borderId="0" xfId="2" applyNumberFormat="1" applyFont="1" applyAlignment="1">
      <alignment horizontal="right" vertical="center" shrinkToFit="1"/>
    </xf>
    <xf numFmtId="38" fontId="4" fillId="0" borderId="0" xfId="2" applyFont="1" applyFill="1" applyAlignment="1">
      <alignment horizontal="right" vertical="center"/>
    </xf>
    <xf numFmtId="38" fontId="4" fillId="0" borderId="0" xfId="2" applyFont="1" applyFill="1" applyAlignment="1">
      <alignment horizontal="right" vertical="center" wrapText="1"/>
    </xf>
    <xf numFmtId="38" fontId="12" fillId="0" borderId="0" xfId="2" applyFont="1" applyFill="1" applyBorder="1" applyAlignment="1">
      <alignment horizontal="center" vertical="center"/>
    </xf>
    <xf numFmtId="38" fontId="5" fillId="0" borderId="1" xfId="2" applyFont="1" applyFill="1" applyBorder="1" applyAlignment="1">
      <alignment horizontal="left" vertical="center"/>
    </xf>
    <xf numFmtId="38" fontId="5" fillId="0" borderId="2" xfId="2" applyFont="1" applyFill="1" applyBorder="1" applyAlignment="1">
      <alignment horizontal="left" vertical="center"/>
    </xf>
    <xf numFmtId="38" fontId="5" fillId="0" borderId="3" xfId="2" applyFont="1" applyFill="1" applyBorder="1" applyAlignment="1">
      <alignment horizontal="left" vertical="center"/>
    </xf>
    <xf numFmtId="38" fontId="5" fillId="0" borderId="0" xfId="2" applyFont="1" applyFill="1" applyBorder="1" applyAlignment="1">
      <alignment horizontal="left" vertical="center"/>
    </xf>
    <xf numFmtId="38" fontId="5" fillId="0" borderId="12" xfId="2" applyFont="1" applyFill="1" applyBorder="1" applyAlignment="1">
      <alignment horizontal="left" vertical="center"/>
    </xf>
    <xf numFmtId="38" fontId="5" fillId="0" borderId="8" xfId="2" applyFont="1" applyFill="1" applyBorder="1" applyAlignment="1">
      <alignment horizontal="left" vertical="center"/>
    </xf>
    <xf numFmtId="38" fontId="12" fillId="0" borderId="0" xfId="2" applyFont="1" applyFill="1" applyAlignment="1">
      <alignment horizontal="right" vertical="center"/>
    </xf>
    <xf numFmtId="38" fontId="11" fillId="0" borderId="19" xfId="2" applyFont="1" applyFill="1" applyBorder="1" applyAlignment="1">
      <alignment horizontal="left" vertical="center"/>
    </xf>
    <xf numFmtId="38" fontId="11" fillId="0" borderId="13" xfId="2" applyFont="1" applyFill="1" applyBorder="1" applyAlignment="1">
      <alignment horizontal="left" vertical="center"/>
    </xf>
    <xf numFmtId="38" fontId="11" fillId="0" borderId="14" xfId="2" applyFont="1" applyFill="1" applyBorder="1" applyAlignment="1">
      <alignment horizontal="left" vertical="center"/>
    </xf>
    <xf numFmtId="38" fontId="5" fillId="0" borderId="0" xfId="2" applyFont="1" applyFill="1" applyBorder="1" applyAlignment="1">
      <alignment horizontal="center" vertical="center"/>
    </xf>
    <xf numFmtId="38" fontId="18" fillId="0" borderId="0" xfId="2" applyFont="1" applyFill="1" applyBorder="1" applyAlignment="1">
      <alignment vertical="center"/>
    </xf>
    <xf numFmtId="38" fontId="3" fillId="0" borderId="0" xfId="2" applyFont="1" applyFill="1" applyAlignment="1">
      <alignment vertical="center"/>
    </xf>
    <xf numFmtId="38" fontId="5" fillId="0" borderId="0" xfId="2" applyFont="1" applyFill="1" applyBorder="1" applyAlignment="1">
      <alignment vertical="center"/>
    </xf>
    <xf numFmtId="38" fontId="5" fillId="0" borderId="0" xfId="2" applyFont="1" applyFill="1" applyAlignment="1">
      <alignment vertical="center"/>
    </xf>
    <xf numFmtId="38" fontId="8" fillId="0" borderId="2" xfId="2" applyFont="1" applyFill="1" applyBorder="1" applyAlignment="1">
      <alignment horizontal="left" vertical="center"/>
    </xf>
    <xf numFmtId="38" fontId="6" fillId="0" borderId="2" xfId="2" applyFont="1" applyFill="1" applyBorder="1" applyAlignment="1">
      <alignment horizontal="right" vertical="center"/>
    </xf>
    <xf numFmtId="38" fontId="3" fillId="3" borderId="2" xfId="2" applyFont="1" applyFill="1" applyBorder="1" applyAlignment="1">
      <alignment vertical="center"/>
    </xf>
    <xf numFmtId="38" fontId="12" fillId="3" borderId="0" xfId="2" applyFont="1" applyFill="1" applyBorder="1" applyAlignment="1">
      <alignment vertical="center"/>
    </xf>
    <xf numFmtId="179" fontId="0" fillId="3" borderId="0" xfId="2" applyNumberFormat="1" applyFont="1" applyFill="1" applyBorder="1" applyAlignment="1">
      <alignment horizontal="left" vertical="center"/>
    </xf>
    <xf numFmtId="180" fontId="0" fillId="3" borderId="2" xfId="2" applyNumberFormat="1" applyFont="1" applyFill="1" applyBorder="1" applyAlignment="1">
      <alignment vertical="center"/>
    </xf>
    <xf numFmtId="181" fontId="21" fillId="0" borderId="0" xfId="2" applyNumberFormat="1" applyFont="1" applyAlignment="1">
      <alignment horizontal="right" vertical="center" shrinkToFit="1"/>
    </xf>
    <xf numFmtId="38" fontId="3" fillId="3" borderId="0" xfId="2" applyFont="1" applyFill="1" applyBorder="1" applyAlignment="1">
      <alignment vertical="center"/>
    </xf>
    <xf numFmtId="38" fontId="3" fillId="3" borderId="5" xfId="2" applyFont="1" applyFill="1" applyBorder="1" applyAlignment="1">
      <alignment vertical="center"/>
    </xf>
    <xf numFmtId="38" fontId="5" fillId="3" borderId="1" xfId="2" applyFont="1" applyFill="1" applyBorder="1" applyAlignment="1">
      <alignment horizontal="left" vertical="center"/>
    </xf>
    <xf numFmtId="38" fontId="5" fillId="3" borderId="2" xfId="2" applyFont="1" applyFill="1" applyBorder="1" applyAlignment="1">
      <alignment horizontal="left" vertical="center"/>
    </xf>
    <xf numFmtId="38" fontId="3" fillId="3" borderId="2" xfId="2" applyFont="1" applyFill="1" applyBorder="1" applyAlignment="1">
      <alignment vertical="center"/>
    </xf>
    <xf numFmtId="38" fontId="5" fillId="3" borderId="3" xfId="2" applyFont="1" applyFill="1" applyBorder="1" applyAlignment="1">
      <alignment horizontal="left" vertical="center"/>
    </xf>
    <xf numFmtId="38" fontId="5" fillId="3" borderId="0" xfId="2" applyFont="1" applyFill="1" applyBorder="1" applyAlignment="1">
      <alignment horizontal="left" vertical="center"/>
    </xf>
    <xf numFmtId="38" fontId="5" fillId="3" borderId="12" xfId="2" applyFont="1" applyFill="1" applyBorder="1" applyAlignment="1">
      <alignment horizontal="left" vertical="center"/>
    </xf>
    <xf numFmtId="38" fontId="5" fillId="3" borderId="8" xfId="2" applyFont="1" applyFill="1" applyBorder="1" applyAlignment="1">
      <alignment horizontal="left" vertical="center"/>
    </xf>
    <xf numFmtId="38" fontId="1" fillId="0" borderId="0" xfId="2" applyFont="1" applyAlignment="1">
      <alignment horizontal="center" vertical="center"/>
    </xf>
    <xf numFmtId="38" fontId="12" fillId="0" borderId="0" xfId="2" applyFont="1" applyFill="1" applyBorder="1" applyAlignment="1">
      <alignment horizontal="right" vertical="center"/>
    </xf>
    <xf numFmtId="40" fontId="4" fillId="0" borderId="0" xfId="2" applyNumberFormat="1" applyFont="1" applyFill="1" applyAlignment="1">
      <alignment horizontal="center" vertical="center"/>
    </xf>
    <xf numFmtId="38" fontId="0" fillId="3" borderId="0" xfId="2" applyFont="1" applyFill="1" applyAlignment="1">
      <alignment horizontal="left" vertical="center"/>
    </xf>
    <xf numFmtId="38" fontId="4" fillId="0" borderId="0" xfId="2" applyFont="1" applyFill="1" applyAlignment="1">
      <alignment horizontal="right" vertical="center"/>
    </xf>
    <xf numFmtId="38" fontId="4" fillId="0" borderId="0" xfId="2" applyFont="1" applyFill="1" applyAlignment="1">
      <alignment horizontal="right" vertical="center" wrapText="1"/>
    </xf>
    <xf numFmtId="38" fontId="12" fillId="0" borderId="0" xfId="2" applyFont="1" applyFill="1" applyBorder="1" applyAlignment="1">
      <alignment horizontal="center" vertical="center"/>
    </xf>
    <xf numFmtId="38" fontId="5" fillId="0" borderId="1" xfId="2" applyFont="1" applyFill="1" applyBorder="1" applyAlignment="1">
      <alignment horizontal="left" vertical="center"/>
    </xf>
    <xf numFmtId="38" fontId="5" fillId="0" borderId="2" xfId="2" applyFont="1" applyFill="1" applyBorder="1" applyAlignment="1">
      <alignment horizontal="left" vertical="center"/>
    </xf>
    <xf numFmtId="38" fontId="5" fillId="0" borderId="3" xfId="2" applyFont="1" applyFill="1" applyBorder="1" applyAlignment="1">
      <alignment horizontal="left" vertical="center"/>
    </xf>
    <xf numFmtId="38" fontId="5" fillId="0" borderId="0" xfId="2" applyFont="1" applyFill="1" applyBorder="1" applyAlignment="1">
      <alignment horizontal="left" vertical="center"/>
    </xf>
    <xf numFmtId="38" fontId="5" fillId="0" borderId="12" xfId="2" applyFont="1" applyFill="1" applyBorder="1" applyAlignment="1">
      <alignment horizontal="left" vertical="center"/>
    </xf>
    <xf numFmtId="38" fontId="5" fillId="0" borderId="8" xfId="2" applyFont="1" applyFill="1" applyBorder="1" applyAlignment="1">
      <alignment horizontal="left" vertical="center"/>
    </xf>
    <xf numFmtId="38" fontId="12" fillId="0" borderId="0" xfId="2" applyFont="1" applyFill="1" applyAlignment="1">
      <alignment horizontal="right" vertical="center"/>
    </xf>
    <xf numFmtId="38" fontId="11" fillId="0" borderId="19" xfId="2" applyFont="1" applyFill="1" applyBorder="1" applyAlignment="1">
      <alignment horizontal="left" vertical="center"/>
    </xf>
    <xf numFmtId="38" fontId="11" fillId="0" borderId="13" xfId="2" applyFont="1" applyFill="1" applyBorder="1" applyAlignment="1">
      <alignment horizontal="left" vertical="center"/>
    </xf>
    <xf numFmtId="38" fontId="11" fillId="0" borderId="14" xfId="2" applyFont="1" applyFill="1" applyBorder="1" applyAlignment="1">
      <alignment horizontal="left" vertical="center"/>
    </xf>
    <xf numFmtId="38" fontId="5" fillId="0" borderId="0" xfId="2" applyFont="1" applyFill="1" applyBorder="1" applyAlignment="1">
      <alignment horizontal="center" vertical="center"/>
    </xf>
    <xf numFmtId="38" fontId="18" fillId="0" borderId="0" xfId="2" applyFont="1" applyFill="1" applyBorder="1" applyAlignment="1">
      <alignment vertical="center"/>
    </xf>
    <xf numFmtId="38" fontId="3" fillId="0" borderId="0" xfId="2" applyFont="1" applyFill="1" applyAlignment="1">
      <alignment vertical="center"/>
    </xf>
    <xf numFmtId="38" fontId="5" fillId="0" borderId="0" xfId="2" applyFont="1" applyFill="1" applyBorder="1" applyAlignment="1">
      <alignment vertical="center"/>
    </xf>
    <xf numFmtId="38" fontId="5" fillId="0" borderId="0" xfId="2" applyFont="1" applyFill="1" applyAlignment="1">
      <alignment vertical="center"/>
    </xf>
    <xf numFmtId="38" fontId="8" fillId="0" borderId="2" xfId="2" applyFont="1" applyFill="1" applyBorder="1" applyAlignment="1">
      <alignment horizontal="left" vertical="center"/>
    </xf>
    <xf numFmtId="38" fontId="6" fillId="0" borderId="2" xfId="2" applyFont="1" applyFill="1" applyBorder="1" applyAlignment="1">
      <alignment horizontal="right" vertical="center"/>
    </xf>
    <xf numFmtId="181" fontId="21" fillId="0" borderId="0" xfId="2" applyNumberFormat="1" applyFont="1" applyAlignment="1">
      <alignment horizontal="right" vertical="center" shrinkToFit="1"/>
    </xf>
    <xf numFmtId="38" fontId="3" fillId="3" borderId="0" xfId="2" applyFont="1" applyFill="1" applyBorder="1" applyAlignment="1">
      <alignment vertical="center"/>
    </xf>
    <xf numFmtId="38" fontId="3" fillId="3" borderId="5" xfId="2" applyFont="1" applyFill="1" applyBorder="1" applyAlignment="1">
      <alignment vertical="center"/>
    </xf>
    <xf numFmtId="38" fontId="5" fillId="3" borderId="1" xfId="2" applyFont="1" applyFill="1" applyBorder="1" applyAlignment="1">
      <alignment horizontal="left" vertical="center"/>
    </xf>
    <xf numFmtId="38" fontId="5" fillId="3" borderId="2" xfId="2" applyFont="1" applyFill="1" applyBorder="1" applyAlignment="1">
      <alignment horizontal="left" vertical="center"/>
    </xf>
    <xf numFmtId="38" fontId="3" fillId="3" borderId="2" xfId="2" applyFont="1" applyFill="1" applyBorder="1" applyAlignment="1">
      <alignment vertical="center"/>
    </xf>
    <xf numFmtId="38" fontId="5" fillId="3" borderId="12" xfId="2" applyFont="1" applyFill="1" applyBorder="1" applyAlignment="1">
      <alignment horizontal="left" vertical="center"/>
    </xf>
    <xf numFmtId="38" fontId="5" fillId="3" borderId="8" xfId="2" applyFont="1" applyFill="1" applyBorder="1" applyAlignment="1">
      <alignment horizontal="left" vertical="center"/>
    </xf>
    <xf numFmtId="38" fontId="5" fillId="3" borderId="3" xfId="2" applyFont="1" applyFill="1" applyBorder="1" applyAlignment="1">
      <alignment horizontal="left" vertical="center"/>
    </xf>
    <xf numFmtId="38" fontId="5" fillId="3" borderId="0" xfId="2" applyFont="1" applyFill="1" applyBorder="1" applyAlignment="1">
      <alignment horizontal="left" vertical="center"/>
    </xf>
    <xf numFmtId="38" fontId="1" fillId="0" borderId="0" xfId="2" applyFont="1" applyAlignment="1">
      <alignment horizontal="center" vertical="center"/>
    </xf>
    <xf numFmtId="38" fontId="12" fillId="0" borderId="0" xfId="2" applyFont="1" applyFill="1" applyBorder="1" applyAlignment="1">
      <alignment horizontal="right" vertical="center"/>
    </xf>
    <xf numFmtId="40" fontId="4" fillId="0" borderId="0" xfId="2" applyNumberFormat="1" applyFont="1" applyFill="1" applyAlignment="1">
      <alignment horizontal="center" vertical="center"/>
    </xf>
    <xf numFmtId="38" fontId="0" fillId="3" borderId="0" xfId="2" applyFont="1" applyFill="1" applyAlignment="1">
      <alignment horizontal="left" vertical="center"/>
    </xf>
    <xf numFmtId="38" fontId="4" fillId="0" borderId="0" xfId="2" applyFont="1" applyFill="1" applyAlignment="1">
      <alignment horizontal="right" vertical="center"/>
    </xf>
    <xf numFmtId="38" fontId="4" fillId="0" borderId="0" xfId="2" applyFont="1" applyFill="1" applyAlignment="1">
      <alignment horizontal="right" vertical="center" wrapText="1"/>
    </xf>
    <xf numFmtId="38" fontId="12" fillId="0" borderId="0" xfId="2" applyFont="1" applyFill="1" applyBorder="1" applyAlignment="1">
      <alignment horizontal="center" vertical="center"/>
    </xf>
    <xf numFmtId="38" fontId="5" fillId="0" borderId="1" xfId="2" applyFont="1" applyFill="1" applyBorder="1" applyAlignment="1">
      <alignment horizontal="left" vertical="center"/>
    </xf>
    <xf numFmtId="38" fontId="5" fillId="0" borderId="2" xfId="2" applyFont="1" applyFill="1" applyBorder="1" applyAlignment="1">
      <alignment horizontal="left" vertical="center"/>
    </xf>
    <xf numFmtId="38" fontId="5" fillId="0" borderId="3" xfId="2" applyFont="1" applyFill="1" applyBorder="1" applyAlignment="1">
      <alignment horizontal="left" vertical="center"/>
    </xf>
    <xf numFmtId="38" fontId="5" fillId="0" borderId="0" xfId="2" applyFont="1" applyFill="1" applyBorder="1" applyAlignment="1">
      <alignment horizontal="left" vertical="center"/>
    </xf>
    <xf numFmtId="38" fontId="5" fillId="0" borderId="12" xfId="2" applyFont="1" applyFill="1" applyBorder="1" applyAlignment="1">
      <alignment horizontal="left" vertical="center"/>
    </xf>
    <xf numFmtId="38" fontId="5" fillId="0" borderId="8" xfId="2" applyFont="1" applyFill="1" applyBorder="1" applyAlignment="1">
      <alignment horizontal="left" vertical="center"/>
    </xf>
    <xf numFmtId="38" fontId="12" fillId="0" borderId="0" xfId="2" applyFont="1" applyFill="1" applyAlignment="1">
      <alignment horizontal="right" vertical="center"/>
    </xf>
    <xf numFmtId="38" fontId="11" fillId="0" borderId="19" xfId="2" applyFont="1" applyFill="1" applyBorder="1" applyAlignment="1">
      <alignment horizontal="left" vertical="center"/>
    </xf>
    <xf numFmtId="38" fontId="11" fillId="0" borderId="13" xfId="2" applyFont="1" applyFill="1" applyBorder="1" applyAlignment="1">
      <alignment horizontal="left" vertical="center"/>
    </xf>
    <xf numFmtId="38" fontId="11" fillId="0" borderId="14" xfId="2" applyFont="1" applyFill="1" applyBorder="1" applyAlignment="1">
      <alignment horizontal="left" vertical="center"/>
    </xf>
    <xf numFmtId="38" fontId="5" fillId="0" borderId="0" xfId="2" applyFont="1" applyFill="1" applyBorder="1" applyAlignment="1">
      <alignment horizontal="center" vertical="center"/>
    </xf>
    <xf numFmtId="38" fontId="18" fillId="0" borderId="0" xfId="2" applyFont="1" applyFill="1" applyBorder="1" applyAlignment="1">
      <alignment vertical="center"/>
    </xf>
    <xf numFmtId="38" fontId="3" fillId="0" borderId="0" xfId="2" applyFont="1" applyFill="1" applyAlignment="1">
      <alignment vertical="center"/>
    </xf>
    <xf numFmtId="38" fontId="5" fillId="0" borderId="0" xfId="2" applyFont="1" applyFill="1" applyBorder="1" applyAlignment="1">
      <alignment vertical="center"/>
    </xf>
    <xf numFmtId="38" fontId="5" fillId="0" borderId="0" xfId="2" applyFont="1" applyFill="1" applyAlignment="1">
      <alignment vertical="center"/>
    </xf>
    <xf numFmtId="38" fontId="8" fillId="0" borderId="2" xfId="2" applyFont="1" applyFill="1" applyBorder="1" applyAlignment="1">
      <alignment horizontal="left" vertical="center"/>
    </xf>
    <xf numFmtId="38" fontId="6" fillId="0" borderId="2" xfId="2" applyFont="1" applyFill="1" applyBorder="1" applyAlignment="1">
      <alignment horizontal="right" vertical="center"/>
    </xf>
    <xf numFmtId="181" fontId="21" fillId="0" borderId="0" xfId="2" applyNumberFormat="1" applyFont="1" applyAlignment="1">
      <alignment horizontal="right" vertical="center" shrinkToFit="1"/>
    </xf>
    <xf numFmtId="38" fontId="3" fillId="3" borderId="0" xfId="2" applyFont="1" applyFill="1" applyBorder="1" applyAlignment="1">
      <alignment vertical="center"/>
    </xf>
    <xf numFmtId="38" fontId="3" fillId="3" borderId="5" xfId="2" applyFont="1" applyFill="1" applyBorder="1" applyAlignment="1">
      <alignment vertical="center"/>
    </xf>
    <xf numFmtId="38" fontId="5" fillId="3" borderId="1" xfId="2" applyFont="1" applyFill="1" applyBorder="1" applyAlignment="1">
      <alignment horizontal="left" vertical="center"/>
    </xf>
    <xf numFmtId="38" fontId="5" fillId="3" borderId="2" xfId="2" applyFont="1" applyFill="1" applyBorder="1" applyAlignment="1">
      <alignment horizontal="left" vertical="center"/>
    </xf>
    <xf numFmtId="38" fontId="3" fillId="3" borderId="2" xfId="2" applyFont="1" applyFill="1" applyBorder="1" applyAlignment="1">
      <alignment vertical="center"/>
    </xf>
    <xf numFmtId="38" fontId="5" fillId="3" borderId="3" xfId="2" applyFont="1" applyFill="1" applyBorder="1" applyAlignment="1">
      <alignment horizontal="left" vertical="center"/>
    </xf>
    <xf numFmtId="38" fontId="5" fillId="3" borderId="0" xfId="2" applyFont="1" applyFill="1" applyBorder="1" applyAlignment="1">
      <alignment horizontal="left" vertical="center"/>
    </xf>
    <xf numFmtId="38" fontId="5" fillId="3" borderId="12" xfId="2" applyFont="1" applyFill="1" applyBorder="1" applyAlignment="1">
      <alignment horizontal="left" vertical="center"/>
    </xf>
    <xf numFmtId="38" fontId="5" fillId="3" borderId="8" xfId="2" applyFont="1" applyFill="1" applyBorder="1" applyAlignment="1">
      <alignment horizontal="left" vertical="center"/>
    </xf>
    <xf numFmtId="38" fontId="1" fillId="0" borderId="0" xfId="2" applyFont="1" applyAlignment="1">
      <alignment horizontal="center" vertical="center"/>
    </xf>
    <xf numFmtId="38" fontId="12" fillId="0" borderId="0" xfId="2" applyFont="1" applyFill="1" applyBorder="1" applyAlignment="1">
      <alignment horizontal="right" vertical="center"/>
    </xf>
    <xf numFmtId="40" fontId="4" fillId="0" borderId="0" xfId="2" applyNumberFormat="1" applyFont="1" applyFill="1" applyAlignment="1">
      <alignment horizontal="center" vertical="center"/>
    </xf>
    <xf numFmtId="38" fontId="0" fillId="3" borderId="0" xfId="2" applyFont="1" applyFill="1" applyAlignment="1">
      <alignment horizontal="left" vertical="center"/>
    </xf>
    <xf numFmtId="38" fontId="4" fillId="0" borderId="0" xfId="2" applyFont="1" applyFill="1" applyAlignment="1">
      <alignment horizontal="right" vertical="center"/>
    </xf>
    <xf numFmtId="38" fontId="4" fillId="0" borderId="0" xfId="2" applyFont="1" applyFill="1" applyAlignment="1">
      <alignment horizontal="right" vertical="center" wrapText="1"/>
    </xf>
    <xf numFmtId="38" fontId="12" fillId="0" borderId="0" xfId="2" applyFont="1" applyFill="1" applyBorder="1" applyAlignment="1">
      <alignment horizontal="center" vertical="center"/>
    </xf>
    <xf numFmtId="38" fontId="5" fillId="0" borderId="1" xfId="2" applyFont="1" applyFill="1" applyBorder="1" applyAlignment="1">
      <alignment horizontal="left" vertical="center"/>
    </xf>
    <xf numFmtId="38" fontId="5" fillId="0" borderId="2" xfId="2" applyFont="1" applyFill="1" applyBorder="1" applyAlignment="1">
      <alignment horizontal="left" vertical="center"/>
    </xf>
    <xf numFmtId="38" fontId="5" fillId="0" borderId="3" xfId="2" applyFont="1" applyFill="1" applyBorder="1" applyAlignment="1">
      <alignment horizontal="left" vertical="center"/>
    </xf>
    <xf numFmtId="38" fontId="5" fillId="0" borderId="0" xfId="2" applyFont="1" applyFill="1" applyBorder="1" applyAlignment="1">
      <alignment horizontal="left" vertical="center"/>
    </xf>
    <xf numFmtId="38" fontId="5" fillId="0" borderId="12" xfId="2" applyFont="1" applyFill="1" applyBorder="1" applyAlignment="1">
      <alignment horizontal="left" vertical="center"/>
    </xf>
    <xf numFmtId="38" fontId="5" fillId="0" borderId="8" xfId="2" applyFont="1" applyFill="1" applyBorder="1" applyAlignment="1">
      <alignment horizontal="left" vertical="center"/>
    </xf>
    <xf numFmtId="38" fontId="12" fillId="0" borderId="0" xfId="2" applyFont="1" applyFill="1" applyAlignment="1">
      <alignment horizontal="right" vertical="center"/>
    </xf>
    <xf numFmtId="38" fontId="11" fillId="0" borderId="19" xfId="2" applyFont="1" applyFill="1" applyBorder="1" applyAlignment="1">
      <alignment horizontal="left" vertical="center"/>
    </xf>
    <xf numFmtId="38" fontId="11" fillId="0" borderId="13" xfId="2" applyFont="1" applyFill="1" applyBorder="1" applyAlignment="1">
      <alignment horizontal="left" vertical="center"/>
    </xf>
    <xf numFmtId="38" fontId="11" fillId="0" borderId="14" xfId="2" applyFont="1" applyFill="1" applyBorder="1" applyAlignment="1">
      <alignment horizontal="left" vertical="center"/>
    </xf>
    <xf numFmtId="38" fontId="5" fillId="0" borderId="0" xfId="2" applyFont="1" applyFill="1" applyBorder="1" applyAlignment="1">
      <alignment horizontal="center" vertical="center"/>
    </xf>
    <xf numFmtId="38" fontId="18" fillId="0" borderId="0" xfId="2" applyFont="1" applyFill="1" applyBorder="1" applyAlignment="1">
      <alignment vertical="center"/>
    </xf>
    <xf numFmtId="38" fontId="3" fillId="0" borderId="0" xfId="2" applyFont="1" applyFill="1" applyAlignment="1">
      <alignment vertical="center"/>
    </xf>
    <xf numFmtId="38" fontId="5" fillId="0" borderId="0" xfId="2" applyFont="1" applyFill="1" applyBorder="1" applyAlignment="1">
      <alignment vertical="center"/>
    </xf>
    <xf numFmtId="38" fontId="5" fillId="0" borderId="0" xfId="2" applyFont="1" applyFill="1" applyAlignment="1">
      <alignment vertical="center"/>
    </xf>
    <xf numFmtId="38" fontId="8" fillId="0" borderId="2" xfId="2" applyFont="1" applyFill="1" applyBorder="1" applyAlignment="1">
      <alignment horizontal="left" vertical="center"/>
    </xf>
    <xf numFmtId="38" fontId="6" fillId="0" borderId="2" xfId="2" applyFont="1" applyFill="1" applyBorder="1" applyAlignment="1">
      <alignment horizontal="right" vertical="center"/>
    </xf>
    <xf numFmtId="179" fontId="0" fillId="3" borderId="0" xfId="2" applyNumberFormat="1" applyFont="1" applyFill="1" applyAlignment="1">
      <alignment horizontal="right" vertical="center"/>
    </xf>
    <xf numFmtId="38" fontId="4" fillId="3" borderId="0" xfId="2" applyFont="1" applyFill="1" applyAlignment="1">
      <alignment vertical="center"/>
    </xf>
    <xf numFmtId="181" fontId="21" fillId="0" borderId="0" xfId="2" applyNumberFormat="1" applyFont="1" applyAlignment="1">
      <alignment horizontal="right" vertical="center" shrinkToFit="1"/>
    </xf>
    <xf numFmtId="38" fontId="3" fillId="3" borderId="0" xfId="2" applyFont="1" applyFill="1" applyBorder="1" applyAlignment="1">
      <alignment vertical="center"/>
    </xf>
    <xf numFmtId="38" fontId="3" fillId="3" borderId="5" xfId="2" applyFont="1" applyFill="1" applyBorder="1" applyAlignment="1">
      <alignment vertical="center"/>
    </xf>
    <xf numFmtId="38" fontId="5" fillId="3" borderId="1" xfId="2" applyFont="1" applyFill="1" applyBorder="1" applyAlignment="1">
      <alignment horizontal="left" vertical="center"/>
    </xf>
    <xf numFmtId="38" fontId="5" fillId="3" borderId="2" xfId="2" applyFont="1" applyFill="1" applyBorder="1" applyAlignment="1">
      <alignment horizontal="left" vertical="center"/>
    </xf>
    <xf numFmtId="38" fontId="3" fillId="3" borderId="2" xfId="2" applyFont="1" applyFill="1" applyBorder="1" applyAlignment="1">
      <alignment vertical="center"/>
    </xf>
    <xf numFmtId="38" fontId="5" fillId="3" borderId="3" xfId="2" applyFont="1" applyFill="1" applyBorder="1" applyAlignment="1">
      <alignment horizontal="left" vertical="center"/>
    </xf>
    <xf numFmtId="38" fontId="5" fillId="3" borderId="0" xfId="2" applyFont="1" applyFill="1" applyBorder="1" applyAlignment="1">
      <alignment horizontal="left" vertical="center"/>
    </xf>
    <xf numFmtId="38" fontId="5" fillId="3" borderId="12" xfId="2" applyFont="1" applyFill="1" applyBorder="1" applyAlignment="1">
      <alignment horizontal="left" vertical="center"/>
    </xf>
    <xf numFmtId="38" fontId="5" fillId="3" borderId="8" xfId="2" applyFont="1" applyFill="1" applyBorder="1" applyAlignment="1">
      <alignment horizontal="left" vertical="center"/>
    </xf>
    <xf numFmtId="38" fontId="1" fillId="0" borderId="0" xfId="2" applyFont="1" applyAlignment="1">
      <alignment horizontal="center" vertical="center"/>
    </xf>
    <xf numFmtId="38" fontId="12" fillId="0" borderId="0" xfId="2" applyFont="1" applyFill="1" applyBorder="1" applyAlignment="1">
      <alignment horizontal="right" vertical="center"/>
    </xf>
    <xf numFmtId="40" fontId="4" fillId="0" borderId="0" xfId="2" applyNumberFormat="1" applyFont="1" applyFill="1" applyAlignment="1">
      <alignment horizontal="center" vertical="center"/>
    </xf>
    <xf numFmtId="38" fontId="0" fillId="3" borderId="0" xfId="2" applyFont="1" applyFill="1" applyAlignment="1">
      <alignment horizontal="left" vertical="center"/>
    </xf>
    <xf numFmtId="38" fontId="4" fillId="0" borderId="0" xfId="2" applyFont="1" applyFill="1" applyAlignment="1">
      <alignment horizontal="right" vertical="center"/>
    </xf>
    <xf numFmtId="38" fontId="4" fillId="0" borderId="0" xfId="2" applyFont="1" applyFill="1" applyAlignment="1">
      <alignment horizontal="right" vertical="center" wrapText="1"/>
    </xf>
    <xf numFmtId="38" fontId="12" fillId="0" borderId="0" xfId="2" applyFont="1" applyFill="1" applyBorder="1" applyAlignment="1">
      <alignment horizontal="center" vertical="center"/>
    </xf>
    <xf numFmtId="38" fontId="5" fillId="0" borderId="1" xfId="2" applyFont="1" applyFill="1" applyBorder="1" applyAlignment="1">
      <alignment horizontal="left" vertical="center"/>
    </xf>
    <xf numFmtId="38" fontId="5" fillId="0" borderId="2" xfId="2" applyFont="1" applyFill="1" applyBorder="1" applyAlignment="1">
      <alignment horizontal="left" vertical="center"/>
    </xf>
    <xf numFmtId="38" fontId="5" fillId="0" borderId="3" xfId="2" applyFont="1" applyFill="1" applyBorder="1" applyAlignment="1">
      <alignment horizontal="left" vertical="center"/>
    </xf>
    <xf numFmtId="38" fontId="5" fillId="0" borderId="0" xfId="2" applyFont="1" applyFill="1" applyBorder="1" applyAlignment="1">
      <alignment horizontal="left" vertical="center"/>
    </xf>
    <xf numFmtId="38" fontId="5" fillId="0" borderId="12" xfId="2" applyFont="1" applyFill="1" applyBorder="1" applyAlignment="1">
      <alignment horizontal="left" vertical="center"/>
    </xf>
    <xf numFmtId="38" fontId="5" fillId="0" borderId="8" xfId="2" applyFont="1" applyFill="1" applyBorder="1" applyAlignment="1">
      <alignment horizontal="left" vertical="center"/>
    </xf>
    <xf numFmtId="38" fontId="12" fillId="0" borderId="0" xfId="2" applyFont="1" applyFill="1" applyAlignment="1">
      <alignment horizontal="right" vertical="center"/>
    </xf>
    <xf numFmtId="38" fontId="11" fillId="0" borderId="19" xfId="2" applyFont="1" applyFill="1" applyBorder="1" applyAlignment="1">
      <alignment horizontal="left" vertical="center"/>
    </xf>
    <xf numFmtId="38" fontId="11" fillId="0" borderId="13" xfId="2" applyFont="1" applyFill="1" applyBorder="1" applyAlignment="1">
      <alignment horizontal="left" vertical="center"/>
    </xf>
    <xf numFmtId="38" fontId="11" fillId="0" borderId="14" xfId="2" applyFont="1" applyFill="1" applyBorder="1" applyAlignment="1">
      <alignment horizontal="left" vertical="center"/>
    </xf>
    <xf numFmtId="38" fontId="5" fillId="0" borderId="0" xfId="2" applyFont="1" applyFill="1" applyBorder="1" applyAlignment="1">
      <alignment horizontal="center" vertical="center"/>
    </xf>
    <xf numFmtId="38" fontId="18" fillId="0" borderId="0" xfId="2" applyFont="1" applyFill="1" applyBorder="1" applyAlignment="1">
      <alignment vertical="center"/>
    </xf>
    <xf numFmtId="38" fontId="3" fillId="0" borderId="0" xfId="2" applyFont="1" applyFill="1" applyAlignment="1">
      <alignment vertical="center"/>
    </xf>
    <xf numFmtId="38" fontId="5" fillId="0" borderId="0" xfId="2" applyFont="1" applyFill="1" applyBorder="1" applyAlignment="1">
      <alignment vertical="center"/>
    </xf>
    <xf numFmtId="38" fontId="5" fillId="0" borderId="0" xfId="2" applyFont="1" applyFill="1" applyAlignment="1">
      <alignment vertical="center"/>
    </xf>
    <xf numFmtId="38" fontId="8" fillId="0" borderId="2" xfId="2" applyFont="1" applyFill="1" applyBorder="1" applyAlignment="1">
      <alignment horizontal="left" vertical="center"/>
    </xf>
    <xf numFmtId="38" fontId="6" fillId="0" borderId="2" xfId="2" applyFont="1" applyFill="1" applyBorder="1" applyAlignment="1">
      <alignment horizontal="right" vertical="center"/>
    </xf>
    <xf numFmtId="181" fontId="21" fillId="0" borderId="0" xfId="2" applyNumberFormat="1" applyFont="1" applyAlignment="1">
      <alignment horizontal="right" vertical="center" shrinkToFit="1"/>
    </xf>
    <xf numFmtId="38" fontId="3" fillId="3" borderId="0" xfId="2" applyFont="1" applyFill="1" applyBorder="1" applyAlignment="1">
      <alignment vertical="center"/>
    </xf>
    <xf numFmtId="38" fontId="3" fillId="3" borderId="5" xfId="2" applyFont="1" applyFill="1" applyBorder="1" applyAlignment="1">
      <alignment vertical="center"/>
    </xf>
    <xf numFmtId="38" fontId="5" fillId="3" borderId="1" xfId="2" applyFont="1" applyFill="1" applyBorder="1" applyAlignment="1">
      <alignment horizontal="left" vertical="center"/>
    </xf>
    <xf numFmtId="38" fontId="5" fillId="3" borderId="2" xfId="2" applyFont="1" applyFill="1" applyBorder="1" applyAlignment="1">
      <alignment horizontal="left" vertical="center"/>
    </xf>
    <xf numFmtId="38" fontId="3" fillId="3" borderId="2" xfId="2" applyFont="1" applyFill="1" applyBorder="1" applyAlignment="1">
      <alignment vertical="center"/>
    </xf>
    <xf numFmtId="38" fontId="5" fillId="3" borderId="3" xfId="2" applyFont="1" applyFill="1" applyBorder="1" applyAlignment="1">
      <alignment horizontal="left" vertical="center"/>
    </xf>
    <xf numFmtId="38" fontId="5" fillId="3" borderId="0" xfId="2" applyFont="1" applyFill="1" applyBorder="1" applyAlignment="1">
      <alignment horizontal="left" vertical="center"/>
    </xf>
    <xf numFmtId="38" fontId="5" fillId="3" borderId="12" xfId="2" applyFont="1" applyFill="1" applyBorder="1" applyAlignment="1">
      <alignment horizontal="left" vertical="center"/>
    </xf>
    <xf numFmtId="38" fontId="5" fillId="3" borderId="8" xfId="2" applyFont="1" applyFill="1" applyBorder="1" applyAlignment="1">
      <alignment horizontal="left" vertical="center"/>
    </xf>
    <xf numFmtId="38" fontId="1" fillId="0" borderId="0" xfId="2" applyFont="1" applyAlignment="1">
      <alignment horizontal="center" vertical="center"/>
    </xf>
    <xf numFmtId="38" fontId="12" fillId="0" borderId="0" xfId="2" applyFont="1" applyFill="1" applyBorder="1" applyAlignment="1">
      <alignment horizontal="right" vertical="center"/>
    </xf>
    <xf numFmtId="40" fontId="4" fillId="0" borderId="0" xfId="2" applyNumberFormat="1" applyFont="1" applyFill="1" applyAlignment="1">
      <alignment horizontal="center" vertical="center"/>
    </xf>
    <xf numFmtId="38" fontId="0" fillId="3" borderId="0" xfId="2" applyFont="1" applyFill="1" applyAlignment="1">
      <alignment horizontal="left" vertical="center"/>
    </xf>
    <xf numFmtId="38" fontId="12" fillId="0" borderId="0" xfId="2" applyFont="1" applyFill="1" applyBorder="1" applyAlignment="1">
      <alignment horizontal="center" vertical="center"/>
    </xf>
    <xf numFmtId="38" fontId="5" fillId="0" borderId="1" xfId="2" applyFont="1" applyFill="1" applyBorder="1" applyAlignment="1">
      <alignment horizontal="left" vertical="center"/>
    </xf>
    <xf numFmtId="38" fontId="5" fillId="0" borderId="2" xfId="2" applyFont="1" applyFill="1" applyBorder="1" applyAlignment="1">
      <alignment horizontal="left" vertical="center"/>
    </xf>
    <xf numFmtId="38" fontId="5" fillId="0" borderId="3" xfId="2" applyFont="1" applyFill="1" applyBorder="1" applyAlignment="1">
      <alignment horizontal="left" vertical="center"/>
    </xf>
    <xf numFmtId="38" fontId="5" fillId="0" borderId="0" xfId="2" applyFont="1" applyFill="1" applyBorder="1" applyAlignment="1">
      <alignment horizontal="left" vertical="center"/>
    </xf>
    <xf numFmtId="38" fontId="5" fillId="0" borderId="12" xfId="2" applyFont="1" applyFill="1" applyBorder="1" applyAlignment="1">
      <alignment horizontal="left" vertical="center"/>
    </xf>
    <xf numFmtId="38" fontId="5" fillId="0" borderId="8" xfId="2" applyFont="1" applyFill="1" applyBorder="1" applyAlignment="1">
      <alignment horizontal="left" vertical="center"/>
    </xf>
    <xf numFmtId="38" fontId="12" fillId="0" borderId="0" xfId="2" applyFont="1" applyFill="1" applyAlignment="1">
      <alignment horizontal="right" vertical="center"/>
    </xf>
    <xf numFmtId="38" fontId="11" fillId="0" borderId="19" xfId="2" applyFont="1" applyFill="1" applyBorder="1" applyAlignment="1">
      <alignment horizontal="left" vertical="center"/>
    </xf>
    <xf numFmtId="38" fontId="11" fillId="0" borderId="13" xfId="2" applyFont="1" applyFill="1" applyBorder="1" applyAlignment="1">
      <alignment horizontal="left" vertical="center"/>
    </xf>
    <xf numFmtId="38" fontId="11" fillId="0" borderId="14" xfId="2" applyFont="1" applyFill="1" applyBorder="1" applyAlignment="1">
      <alignment horizontal="left" vertical="center"/>
    </xf>
    <xf numFmtId="38" fontId="5" fillId="0" borderId="0" xfId="2" applyFont="1" applyFill="1" applyBorder="1" applyAlignment="1">
      <alignment horizontal="center" vertical="center"/>
    </xf>
    <xf numFmtId="38" fontId="18" fillId="0" borderId="0" xfId="2" applyFont="1" applyFill="1" applyBorder="1" applyAlignment="1">
      <alignment vertical="center"/>
    </xf>
    <xf numFmtId="38" fontId="3" fillId="0" borderId="0" xfId="2" applyFont="1" applyFill="1" applyAlignment="1">
      <alignment vertical="center"/>
    </xf>
    <xf numFmtId="38" fontId="5" fillId="0" borderId="0" xfId="2" applyFont="1" applyFill="1" applyBorder="1" applyAlignment="1">
      <alignment vertical="center"/>
    </xf>
    <xf numFmtId="38" fontId="5" fillId="0" borderId="0" xfId="2" applyFont="1" applyFill="1" applyAlignment="1">
      <alignment vertical="center"/>
    </xf>
    <xf numFmtId="38" fontId="8" fillId="0" borderId="2" xfId="2" applyFont="1" applyFill="1" applyBorder="1" applyAlignment="1">
      <alignment horizontal="left" vertical="center"/>
    </xf>
    <xf numFmtId="38" fontId="6" fillId="0" borderId="2" xfId="2" applyFont="1" applyFill="1" applyBorder="1" applyAlignment="1">
      <alignment horizontal="right" vertical="center"/>
    </xf>
    <xf numFmtId="38" fontId="5" fillId="0" borderId="3" xfId="2" applyFont="1" applyFill="1" applyBorder="1" applyAlignment="1">
      <alignment vertical="center"/>
    </xf>
    <xf numFmtId="38" fontId="5" fillId="0" borderId="0" xfId="2" applyFont="1" applyFill="1" applyBorder="1" applyAlignment="1">
      <alignment vertical="center"/>
    </xf>
    <xf numFmtId="38" fontId="5" fillId="0" borderId="8" xfId="2" applyFont="1" applyFill="1" applyBorder="1" applyAlignment="1">
      <alignment vertical="center"/>
    </xf>
    <xf numFmtId="38" fontId="4" fillId="0" borderId="0" xfId="2" applyFont="1" applyFill="1" applyAlignment="1">
      <alignment horizontal="right" vertical="center"/>
    </xf>
    <xf numFmtId="38" fontId="4" fillId="0" borderId="0" xfId="2" applyFont="1" applyFill="1" applyAlignment="1">
      <alignment horizontal="right" vertical="center" wrapText="1"/>
    </xf>
    <xf numFmtId="38" fontId="3" fillId="3" borderId="0" xfId="2" applyFont="1" applyFill="1" applyBorder="1" applyAlignment="1">
      <alignment vertical="center"/>
    </xf>
    <xf numFmtId="38" fontId="3" fillId="3" borderId="5" xfId="2" applyFont="1" applyFill="1" applyBorder="1" applyAlignment="1">
      <alignment vertical="center"/>
    </xf>
    <xf numFmtId="38" fontId="5" fillId="3" borderId="1" xfId="2" applyFont="1" applyFill="1" applyBorder="1" applyAlignment="1">
      <alignment horizontal="left" vertical="center"/>
    </xf>
    <xf numFmtId="38" fontId="5" fillId="3" borderId="2" xfId="2" applyFont="1" applyFill="1" applyBorder="1" applyAlignment="1">
      <alignment horizontal="left" vertical="center"/>
    </xf>
    <xf numFmtId="38" fontId="3" fillId="3" borderId="2" xfId="2" applyFont="1" applyFill="1" applyBorder="1" applyAlignment="1">
      <alignment vertical="center"/>
    </xf>
    <xf numFmtId="38" fontId="5" fillId="3" borderId="12" xfId="2" applyFont="1" applyFill="1" applyBorder="1" applyAlignment="1">
      <alignment horizontal="left" vertical="center"/>
    </xf>
    <xf numFmtId="38" fontId="5" fillId="3" borderId="8" xfId="2" applyFont="1" applyFill="1" applyBorder="1" applyAlignment="1">
      <alignment horizontal="left" vertical="center"/>
    </xf>
    <xf numFmtId="38" fontId="5" fillId="3" borderId="3" xfId="2" applyFont="1" applyFill="1" applyBorder="1" applyAlignment="1">
      <alignment horizontal="left" vertical="center"/>
    </xf>
    <xf numFmtId="38" fontId="5" fillId="3" borderId="0" xfId="2" applyFont="1" applyFill="1" applyBorder="1" applyAlignment="1">
      <alignment horizontal="left" vertical="center"/>
    </xf>
    <xf numFmtId="38" fontId="12" fillId="0" borderId="0" xfId="2" applyFont="1" applyFill="1" applyBorder="1" applyAlignment="1">
      <alignment horizontal="right" vertical="center"/>
    </xf>
    <xf numFmtId="38" fontId="4" fillId="0" borderId="0" xfId="2" applyFont="1" applyFill="1" applyAlignment="1">
      <alignment horizontal="right" vertical="center"/>
    </xf>
    <xf numFmtId="38" fontId="4" fillId="0" borderId="0" xfId="2" applyFont="1" applyFill="1" applyAlignment="1">
      <alignment horizontal="right" vertical="center" wrapText="1"/>
    </xf>
    <xf numFmtId="40" fontId="4" fillId="0" borderId="0" xfId="2" applyNumberFormat="1" applyFont="1" applyFill="1" applyAlignment="1">
      <alignment horizontal="center" vertical="center"/>
    </xf>
    <xf numFmtId="38" fontId="0" fillId="3" borderId="0" xfId="2" applyFont="1" applyFill="1" applyAlignment="1">
      <alignment horizontal="left" vertical="center"/>
    </xf>
    <xf numFmtId="38" fontId="12" fillId="0" borderId="0" xfId="2" applyFont="1" applyFill="1" applyBorder="1" applyAlignment="1">
      <alignment horizontal="center" vertical="center"/>
    </xf>
    <xf numFmtId="38" fontId="5" fillId="0" borderId="1" xfId="2" applyFont="1" applyFill="1" applyBorder="1" applyAlignment="1">
      <alignment horizontal="left" vertical="center"/>
    </xf>
    <xf numFmtId="38" fontId="5" fillId="0" borderId="2" xfId="2" applyFont="1" applyFill="1" applyBorder="1" applyAlignment="1">
      <alignment horizontal="left" vertical="center"/>
    </xf>
    <xf numFmtId="38" fontId="5" fillId="0" borderId="3" xfId="2" applyFont="1" applyFill="1" applyBorder="1" applyAlignment="1">
      <alignment horizontal="left" vertical="center"/>
    </xf>
    <xf numFmtId="38" fontId="5" fillId="0" borderId="0" xfId="2" applyFont="1" applyFill="1" applyBorder="1" applyAlignment="1">
      <alignment horizontal="left" vertical="center"/>
    </xf>
    <xf numFmtId="38" fontId="5" fillId="0" borderId="12" xfId="2" applyFont="1" applyFill="1" applyBorder="1" applyAlignment="1">
      <alignment horizontal="left" vertical="center"/>
    </xf>
    <xf numFmtId="38" fontId="5" fillId="0" borderId="8" xfId="2" applyFont="1" applyFill="1" applyBorder="1" applyAlignment="1">
      <alignment horizontal="left" vertical="center"/>
    </xf>
    <xf numFmtId="38" fontId="12" fillId="0" borderId="0" xfId="2" applyFont="1" applyFill="1" applyAlignment="1">
      <alignment horizontal="right" vertical="center"/>
    </xf>
    <xf numFmtId="38" fontId="11" fillId="0" borderId="19" xfId="2" applyFont="1" applyFill="1" applyBorder="1" applyAlignment="1">
      <alignment horizontal="left" vertical="center"/>
    </xf>
    <xf numFmtId="38" fontId="11" fillId="0" borderId="13" xfId="2" applyFont="1" applyFill="1" applyBorder="1" applyAlignment="1">
      <alignment horizontal="left" vertical="center"/>
    </xf>
    <xf numFmtId="38" fontId="11" fillId="0" borderId="14" xfId="2" applyFont="1" applyFill="1" applyBorder="1" applyAlignment="1">
      <alignment horizontal="left" vertical="center"/>
    </xf>
    <xf numFmtId="38" fontId="5" fillId="0" borderId="0" xfId="2" applyFont="1" applyFill="1" applyBorder="1" applyAlignment="1">
      <alignment horizontal="center" vertical="center"/>
    </xf>
    <xf numFmtId="38" fontId="18" fillId="0" borderId="0" xfId="2" applyFont="1" applyFill="1" applyBorder="1" applyAlignment="1">
      <alignment vertical="center"/>
    </xf>
    <xf numFmtId="38" fontId="3" fillId="0" borderId="0" xfId="2" applyFont="1" applyFill="1" applyAlignment="1">
      <alignment vertical="center"/>
    </xf>
    <xf numFmtId="38" fontId="5" fillId="0" borderId="3" xfId="2" applyFont="1" applyFill="1" applyBorder="1" applyAlignment="1">
      <alignment vertical="center"/>
    </xf>
    <xf numFmtId="38" fontId="5" fillId="0" borderId="0" xfId="2" applyFont="1" applyFill="1" applyBorder="1" applyAlignment="1">
      <alignment vertical="center"/>
    </xf>
    <xf numFmtId="38" fontId="5" fillId="0" borderId="8" xfId="2" applyFont="1" applyFill="1" applyBorder="1" applyAlignment="1">
      <alignment vertical="center"/>
    </xf>
    <xf numFmtId="38" fontId="5" fillId="0" borderId="0" xfId="2" applyFont="1" applyFill="1" applyAlignment="1">
      <alignment vertical="center"/>
    </xf>
    <xf numFmtId="38" fontId="8" fillId="0" borderId="2" xfId="2" applyFont="1" applyFill="1" applyBorder="1" applyAlignment="1">
      <alignment horizontal="left" vertical="center"/>
    </xf>
    <xf numFmtId="38" fontId="6" fillId="0" borderId="2" xfId="2" applyFont="1" applyFill="1" applyBorder="1" applyAlignment="1">
      <alignment horizontal="right" vertical="center"/>
    </xf>
    <xf numFmtId="38" fontId="12" fillId="0" borderId="0" xfId="2" applyFont="1" applyFill="1" applyBorder="1" applyAlignment="1">
      <alignment horizontal="right" vertical="center"/>
    </xf>
    <xf numFmtId="38" fontId="12" fillId="0" borderId="0" xfId="2" applyFont="1" applyFill="1" applyBorder="1" applyAlignment="1">
      <alignment horizontal="right" vertical="center"/>
    </xf>
    <xf numFmtId="38" fontId="4" fillId="0" borderId="0" xfId="2" applyFont="1" applyFill="1" applyAlignment="1">
      <alignment horizontal="right" vertical="center"/>
    </xf>
    <xf numFmtId="38" fontId="4" fillId="0" borderId="0" xfId="2" applyFont="1" applyFill="1" applyAlignment="1">
      <alignment horizontal="right" vertical="center" wrapText="1"/>
    </xf>
    <xf numFmtId="40" fontId="4" fillId="0" borderId="0" xfId="2" applyNumberFormat="1" applyFont="1" applyFill="1" applyAlignment="1">
      <alignment horizontal="center" vertical="center"/>
    </xf>
    <xf numFmtId="38" fontId="12" fillId="2" borderId="17" xfId="2" applyFont="1" applyFill="1" applyBorder="1" applyAlignment="1">
      <alignment horizontal="center" vertical="center"/>
    </xf>
    <xf numFmtId="38" fontId="12" fillId="2" borderId="7" xfId="2" applyFont="1" applyFill="1" applyBorder="1" applyAlignment="1">
      <alignment horizontal="center" vertical="center"/>
    </xf>
    <xf numFmtId="38" fontId="12" fillId="2" borderId="4" xfId="2" applyFont="1" applyFill="1" applyBorder="1" applyAlignment="1">
      <alignment horizontal="center" vertical="center"/>
    </xf>
    <xf numFmtId="38" fontId="12" fillId="2" borderId="1" xfId="2" applyFont="1" applyFill="1" applyBorder="1" applyAlignment="1">
      <alignment horizontal="center" vertical="center"/>
    </xf>
    <xf numFmtId="38" fontId="12" fillId="2" borderId="2" xfId="2" applyFont="1" applyFill="1" applyBorder="1" applyAlignment="1">
      <alignment horizontal="center" vertical="center"/>
    </xf>
    <xf numFmtId="38" fontId="12" fillId="2" borderId="6" xfId="2" applyFont="1" applyFill="1" applyBorder="1" applyAlignment="1">
      <alignment horizontal="center" vertical="center"/>
    </xf>
    <xf numFmtId="38" fontId="0" fillId="2" borderId="17" xfId="2" applyFont="1" applyFill="1" applyBorder="1" applyAlignment="1">
      <alignment horizontal="center" vertical="center" wrapText="1"/>
    </xf>
    <xf numFmtId="38" fontId="12" fillId="2" borderId="7" xfId="2" applyFont="1" applyFill="1" applyBorder="1" applyAlignment="1">
      <alignment horizontal="center" vertical="center" wrapText="1"/>
    </xf>
    <xf numFmtId="38" fontId="12" fillId="2" borderId="4" xfId="2" applyFont="1" applyFill="1" applyBorder="1" applyAlignment="1">
      <alignment horizontal="center" vertical="center" wrapText="1"/>
    </xf>
    <xf numFmtId="38" fontId="12" fillId="2" borderId="1" xfId="2" applyFont="1" applyFill="1" applyBorder="1" applyAlignment="1">
      <alignment horizontal="center" vertical="center" wrapText="1"/>
    </xf>
    <xf numFmtId="38" fontId="12" fillId="2" borderId="2" xfId="2" applyFont="1" applyFill="1" applyBorder="1" applyAlignment="1">
      <alignment horizontal="center" vertical="center" wrapText="1"/>
    </xf>
    <xf numFmtId="38" fontId="12" fillId="2" borderId="6" xfId="2" applyFont="1" applyFill="1" applyBorder="1" applyAlignment="1">
      <alignment horizontal="center" vertical="center" wrapText="1"/>
    </xf>
    <xf numFmtId="38" fontId="12" fillId="2" borderId="17" xfId="2" applyFont="1" applyFill="1" applyBorder="1" applyAlignment="1">
      <alignment horizontal="center" vertical="center" wrapText="1"/>
    </xf>
    <xf numFmtId="38" fontId="7" fillId="0" borderId="0" xfId="2" applyFont="1" applyFill="1" applyAlignment="1">
      <alignment horizontal="center" vertical="center"/>
    </xf>
    <xf numFmtId="49" fontId="10" fillId="0" borderId="0" xfId="2" applyNumberFormat="1" applyFont="1" applyFill="1" applyAlignment="1">
      <alignment horizontal="center" vertical="top" wrapText="1"/>
    </xf>
    <xf numFmtId="180" fontId="17" fillId="0" borderId="0" xfId="2" applyNumberFormat="1" applyFont="1" applyFill="1" applyAlignment="1">
      <alignment horizontal="center" vertical="top" wrapText="1"/>
    </xf>
    <xf numFmtId="38" fontId="0" fillId="3" borderId="0" xfId="2" applyFont="1" applyFill="1" applyAlignment="1">
      <alignment horizontal="right" vertical="center"/>
    </xf>
    <xf numFmtId="180" fontId="1" fillId="3" borderId="0" xfId="2" applyNumberFormat="1" applyFont="1" applyFill="1" applyAlignment="1">
      <alignment horizontal="distributed" vertical="center"/>
    </xf>
    <xf numFmtId="38" fontId="1" fillId="3" borderId="0" xfId="2" applyFont="1" applyFill="1" applyAlignment="1">
      <alignment horizontal="left" vertical="center"/>
    </xf>
    <xf numFmtId="38" fontId="12" fillId="0" borderId="3" xfId="2" applyFont="1" applyFill="1" applyBorder="1" applyAlignment="1">
      <alignment horizontal="right" vertical="center"/>
    </xf>
    <xf numFmtId="38" fontId="12" fillId="0" borderId="0" xfId="2" applyFont="1" applyFill="1" applyBorder="1" applyAlignment="1">
      <alignment horizontal="right" vertical="center"/>
    </xf>
    <xf numFmtId="38" fontId="1" fillId="0" borderId="19" xfId="2" applyFont="1" applyFill="1" applyBorder="1" applyAlignment="1">
      <alignment horizontal="center" vertical="center"/>
    </xf>
    <xf numFmtId="38" fontId="1" fillId="0" borderId="13" xfId="2" applyFont="1" applyFill="1" applyBorder="1" applyAlignment="1">
      <alignment horizontal="center" vertical="center"/>
    </xf>
    <xf numFmtId="38" fontId="1" fillId="0" borderId="14" xfId="2" applyFont="1" applyFill="1" applyBorder="1" applyAlignment="1">
      <alignment horizontal="center" vertical="center"/>
    </xf>
    <xf numFmtId="38" fontId="12" fillId="0" borderId="19" xfId="2" applyFont="1" applyFill="1" applyBorder="1" applyAlignment="1">
      <alignment horizontal="center" vertical="center"/>
    </xf>
    <xf numFmtId="38" fontId="12" fillId="0" borderId="13" xfId="2" applyFont="1" applyFill="1" applyBorder="1" applyAlignment="1">
      <alignment horizontal="center" vertical="center"/>
    </xf>
    <xf numFmtId="38" fontId="12" fillId="0" borderId="14" xfId="2" applyFont="1" applyFill="1" applyBorder="1" applyAlignment="1">
      <alignment horizontal="center" vertical="center"/>
    </xf>
    <xf numFmtId="1" fontId="12" fillId="0" borderId="19" xfId="2" applyNumberFormat="1" applyFont="1" applyFill="1" applyBorder="1" applyAlignment="1">
      <alignment horizontal="right" vertical="center"/>
    </xf>
    <xf numFmtId="1" fontId="12" fillId="0" borderId="13" xfId="2" applyNumberFormat="1" applyFont="1" applyFill="1" applyBorder="1" applyAlignment="1">
      <alignment horizontal="right" vertical="center"/>
    </xf>
    <xf numFmtId="40" fontId="12" fillId="0" borderId="19" xfId="2" applyNumberFormat="1" applyFont="1" applyFill="1" applyBorder="1" applyAlignment="1">
      <alignment horizontal="center" vertical="center"/>
    </xf>
    <xf numFmtId="40" fontId="12" fillId="0" borderId="13" xfId="2" applyNumberFormat="1" applyFont="1" applyFill="1" applyBorder="1" applyAlignment="1">
      <alignment horizontal="center" vertical="center"/>
    </xf>
    <xf numFmtId="40" fontId="12" fillId="0" borderId="14" xfId="2" applyNumberFormat="1" applyFont="1" applyFill="1" applyBorder="1" applyAlignment="1">
      <alignment horizontal="center" vertical="center"/>
    </xf>
    <xf numFmtId="38" fontId="12" fillId="2" borderId="13" xfId="2" applyFont="1" applyFill="1" applyBorder="1" applyAlignment="1">
      <alignment horizontal="center" vertical="center" wrapText="1"/>
    </xf>
    <xf numFmtId="1" fontId="1" fillId="0" borderId="19" xfId="2" applyNumberFormat="1" applyFont="1" applyFill="1" applyBorder="1" applyAlignment="1">
      <alignment horizontal="right" vertical="center"/>
    </xf>
    <xf numFmtId="1" fontId="1" fillId="0" borderId="13" xfId="2" applyNumberFormat="1" applyFont="1" applyFill="1" applyBorder="1" applyAlignment="1">
      <alignment horizontal="right" vertical="center"/>
    </xf>
    <xf numFmtId="40" fontId="1" fillId="0" borderId="19" xfId="2" applyNumberFormat="1" applyFont="1" applyFill="1" applyBorder="1" applyAlignment="1">
      <alignment horizontal="center" vertical="center"/>
    </xf>
    <xf numFmtId="40" fontId="1" fillId="0" borderId="13" xfId="2" applyNumberFormat="1" applyFont="1" applyFill="1" applyBorder="1" applyAlignment="1">
      <alignment horizontal="center" vertical="center"/>
    </xf>
    <xf numFmtId="40" fontId="1" fillId="0" borderId="14" xfId="2" applyNumberFormat="1" applyFont="1" applyFill="1" applyBorder="1" applyAlignment="1">
      <alignment horizontal="center" vertical="center"/>
    </xf>
    <xf numFmtId="38" fontId="1" fillId="0" borderId="3" xfId="2" applyFont="1" applyFill="1" applyBorder="1" applyAlignment="1">
      <alignment horizontal="right" vertical="center"/>
    </xf>
    <xf numFmtId="38" fontId="1" fillId="0" borderId="0" xfId="2" applyFont="1" applyFill="1" applyAlignment="1">
      <alignment horizontal="right" vertical="center"/>
    </xf>
    <xf numFmtId="38" fontId="11" fillId="0" borderId="18" xfId="2" applyFont="1" applyFill="1" applyBorder="1" applyAlignment="1">
      <alignment horizontal="left" vertical="center"/>
    </xf>
    <xf numFmtId="38" fontId="25" fillId="0" borderId="18" xfId="2" applyFont="1" applyFill="1" applyBorder="1" applyAlignment="1">
      <alignment horizontal="center" vertical="center"/>
    </xf>
    <xf numFmtId="38" fontId="17" fillId="0" borderId="19" xfId="2" applyFont="1" applyFill="1" applyBorder="1" applyAlignment="1">
      <alignment horizontal="center" vertical="center"/>
    </xf>
    <xf numFmtId="38" fontId="17" fillId="0" borderId="13" xfId="2" applyFont="1" applyFill="1" applyBorder="1" applyAlignment="1">
      <alignment horizontal="center" vertical="center"/>
    </xf>
    <xf numFmtId="38" fontId="17" fillId="0" borderId="14" xfId="2" applyFont="1" applyFill="1" applyBorder="1" applyAlignment="1">
      <alignment horizontal="center" vertical="center"/>
    </xf>
    <xf numFmtId="38" fontId="17" fillId="0" borderId="18" xfId="2" applyFont="1" applyFill="1" applyBorder="1" applyAlignment="1">
      <alignment horizontal="center" vertical="center"/>
    </xf>
    <xf numFmtId="38" fontId="6" fillId="2" borderId="18" xfId="2" applyFont="1" applyFill="1" applyBorder="1" applyAlignment="1">
      <alignment horizontal="center" vertical="center"/>
    </xf>
    <xf numFmtId="38" fontId="1" fillId="0" borderId="0" xfId="2" applyFont="1" applyAlignment="1">
      <alignment horizontal="center" vertical="center"/>
    </xf>
    <xf numFmtId="38" fontId="24" fillId="4" borderId="18" xfId="2" applyFont="1" applyFill="1" applyBorder="1" applyAlignment="1">
      <alignment horizontal="left" vertical="center" shrinkToFit="1"/>
    </xf>
    <xf numFmtId="38" fontId="17" fillId="4" borderId="19" xfId="2" applyFont="1" applyFill="1" applyBorder="1" applyAlignment="1">
      <alignment horizontal="center" vertical="center"/>
    </xf>
    <xf numFmtId="38" fontId="17" fillId="4" borderId="13" xfId="2" applyFont="1" applyFill="1" applyBorder="1" applyAlignment="1">
      <alignment horizontal="center" vertical="center"/>
    </xf>
    <xf numFmtId="38" fontId="17" fillId="4" borderId="14" xfId="2" applyFont="1" applyFill="1" applyBorder="1" applyAlignment="1">
      <alignment horizontal="center" vertical="center"/>
    </xf>
    <xf numFmtId="40" fontId="1" fillId="3" borderId="19" xfId="2" applyNumberFormat="1" applyFont="1" applyFill="1" applyBorder="1" applyAlignment="1">
      <alignment horizontal="center" vertical="center"/>
    </xf>
    <xf numFmtId="40" fontId="1" fillId="3" borderId="13" xfId="2" applyNumberFormat="1" applyFont="1" applyFill="1" applyBorder="1" applyAlignment="1">
      <alignment horizontal="center" vertical="center"/>
    </xf>
    <xf numFmtId="40" fontId="1" fillId="3" borderId="14" xfId="2" applyNumberFormat="1" applyFont="1" applyFill="1" applyBorder="1" applyAlignment="1">
      <alignment horizontal="center" vertical="center"/>
    </xf>
    <xf numFmtId="38" fontId="11" fillId="3" borderId="18" xfId="2" applyFont="1" applyFill="1" applyBorder="1" applyAlignment="1">
      <alignment horizontal="left" vertical="center" shrinkToFit="1"/>
    </xf>
    <xf numFmtId="38" fontId="1" fillId="3" borderId="19" xfId="2" applyFont="1" applyFill="1" applyBorder="1" applyAlignment="1">
      <alignment horizontal="center" vertical="center"/>
    </xf>
    <xf numFmtId="38" fontId="1" fillId="3" borderId="13" xfId="2" applyFont="1" applyFill="1" applyBorder="1" applyAlignment="1">
      <alignment horizontal="center" vertical="center"/>
    </xf>
    <xf numFmtId="38" fontId="1" fillId="3" borderId="14" xfId="2" applyFont="1" applyFill="1" applyBorder="1" applyAlignment="1">
      <alignment horizontal="center" vertical="center"/>
    </xf>
    <xf numFmtId="38" fontId="6" fillId="2" borderId="19" xfId="2" applyFont="1" applyFill="1" applyBorder="1" applyAlignment="1">
      <alignment horizontal="center" vertical="center"/>
    </xf>
    <xf numFmtId="38" fontId="6" fillId="2" borderId="13" xfId="2" applyFont="1" applyFill="1" applyBorder="1" applyAlignment="1">
      <alignment horizontal="center" vertical="center"/>
    </xf>
    <xf numFmtId="38" fontId="6" fillId="2" borderId="14" xfId="2" applyFont="1" applyFill="1" applyBorder="1" applyAlignment="1">
      <alignment horizontal="center" vertical="center"/>
    </xf>
    <xf numFmtId="38" fontId="5" fillId="0" borderId="29" xfId="2" applyFont="1" applyFill="1" applyBorder="1" applyAlignment="1">
      <alignment horizontal="center" vertical="center"/>
    </xf>
    <xf numFmtId="38" fontId="1" fillId="0" borderId="29" xfId="2" applyFont="1" applyFill="1" applyBorder="1" applyAlignment="1">
      <alignment horizontal="center" vertical="center"/>
    </xf>
    <xf numFmtId="38" fontId="1" fillId="0" borderId="20" xfId="2" applyFont="1" applyFill="1" applyBorder="1" applyAlignment="1">
      <alignment horizontal="center" vertical="center"/>
    </xf>
    <xf numFmtId="38" fontId="1" fillId="0" borderId="15" xfId="2" applyFont="1" applyFill="1" applyBorder="1" applyAlignment="1">
      <alignment horizontal="center" vertical="center"/>
    </xf>
    <xf numFmtId="38" fontId="1" fillId="0" borderId="16" xfId="2" applyFont="1" applyFill="1" applyBorder="1" applyAlignment="1">
      <alignment horizontal="center" vertical="center"/>
    </xf>
    <xf numFmtId="38" fontId="3" fillId="3" borderId="0" xfId="2" applyFont="1" applyFill="1" applyBorder="1" applyAlignment="1">
      <alignment vertical="center"/>
    </xf>
    <xf numFmtId="38" fontId="3" fillId="3" borderId="5" xfId="2" applyFont="1" applyFill="1" applyBorder="1" applyAlignment="1">
      <alignment vertical="center"/>
    </xf>
    <xf numFmtId="38" fontId="3" fillId="3" borderId="0" xfId="2" applyFont="1" applyFill="1" applyBorder="1" applyAlignment="1">
      <alignment horizontal="right" vertical="center"/>
    </xf>
    <xf numFmtId="38" fontId="3" fillId="3" borderId="5" xfId="2" applyFont="1" applyFill="1" applyBorder="1" applyAlignment="1">
      <alignment horizontal="right" vertical="center"/>
    </xf>
    <xf numFmtId="38" fontId="5" fillId="3" borderId="3" xfId="2" applyFont="1" applyFill="1" applyBorder="1" applyAlignment="1">
      <alignment horizontal="left" vertical="center"/>
    </xf>
    <xf numFmtId="38" fontId="5" fillId="3" borderId="0" xfId="2" applyFont="1" applyFill="1" applyBorder="1" applyAlignment="1">
      <alignment horizontal="left" vertical="center"/>
    </xf>
    <xf numFmtId="38" fontId="3" fillId="3" borderId="8" xfId="2" applyFont="1" applyFill="1" applyBorder="1" applyAlignment="1">
      <alignment vertical="center"/>
    </xf>
    <xf numFmtId="38" fontId="3" fillId="3" borderId="9" xfId="2" applyFont="1" applyFill="1" applyBorder="1" applyAlignment="1">
      <alignment vertical="center"/>
    </xf>
    <xf numFmtId="38" fontId="5" fillId="3" borderId="12" xfId="2" applyFont="1" applyFill="1" applyBorder="1" applyAlignment="1">
      <alignment horizontal="left" vertical="center"/>
    </xf>
    <xf numFmtId="38" fontId="5" fillId="3" borderId="8" xfId="2" applyFont="1" applyFill="1" applyBorder="1" applyAlignment="1">
      <alignment horizontal="left" vertical="center"/>
    </xf>
    <xf numFmtId="38" fontId="3" fillId="3" borderId="8" xfId="2" applyFont="1" applyFill="1" applyBorder="1" applyAlignment="1">
      <alignment horizontal="right" vertical="center"/>
    </xf>
    <xf numFmtId="38" fontId="3" fillId="3" borderId="9" xfId="2" applyFont="1" applyFill="1" applyBorder="1" applyAlignment="1">
      <alignment horizontal="right" vertical="center"/>
    </xf>
    <xf numFmtId="38" fontId="5" fillId="3" borderId="1" xfId="2" applyFont="1" applyFill="1" applyBorder="1" applyAlignment="1">
      <alignment horizontal="left" vertical="center"/>
    </xf>
    <xf numFmtId="38" fontId="5" fillId="3" borderId="2" xfId="2" applyFont="1" applyFill="1" applyBorder="1" applyAlignment="1">
      <alignment horizontal="left" vertical="center"/>
    </xf>
    <xf numFmtId="38" fontId="3" fillId="3" borderId="2" xfId="2" applyFont="1" applyFill="1" applyBorder="1" applyAlignment="1">
      <alignment vertical="center"/>
    </xf>
    <xf numFmtId="38" fontId="3" fillId="3" borderId="6" xfId="2" applyFont="1" applyFill="1" applyBorder="1" applyAlignment="1">
      <alignment vertical="center"/>
    </xf>
    <xf numFmtId="38" fontId="5" fillId="0" borderId="12" xfId="2" applyFont="1" applyFill="1" applyBorder="1" applyAlignment="1">
      <alignment horizontal="center" vertical="center"/>
    </xf>
    <xf numFmtId="38" fontId="5" fillId="0" borderId="9" xfId="2" applyFont="1" applyFill="1" applyBorder="1" applyAlignment="1">
      <alignment horizontal="center" vertical="center"/>
    </xf>
    <xf numFmtId="38" fontId="5" fillId="0" borderId="3" xfId="2" applyFont="1" applyFill="1" applyBorder="1" applyAlignment="1">
      <alignment horizontal="center" vertical="center"/>
    </xf>
    <xf numFmtId="38" fontId="5" fillId="0" borderId="5" xfId="2" applyFont="1" applyFill="1" applyBorder="1" applyAlignment="1">
      <alignment horizontal="center" vertical="center"/>
    </xf>
    <xf numFmtId="38" fontId="5" fillId="0" borderId="1" xfId="2" applyFont="1" applyFill="1" applyBorder="1" applyAlignment="1">
      <alignment horizontal="center" vertical="center"/>
    </xf>
    <xf numFmtId="38" fontId="5" fillId="0" borderId="6" xfId="2" applyFont="1" applyFill="1" applyBorder="1" applyAlignment="1">
      <alignment horizontal="center" vertical="center"/>
    </xf>
    <xf numFmtId="38" fontId="1" fillId="3" borderId="20" xfId="2" applyFont="1" applyFill="1" applyBorder="1" applyAlignment="1">
      <alignment horizontal="center" vertical="center"/>
    </xf>
    <xf numFmtId="38" fontId="1" fillId="3" borderId="15" xfId="2" applyFont="1" applyFill="1" applyBorder="1" applyAlignment="1">
      <alignment horizontal="center" vertical="center"/>
    </xf>
    <xf numFmtId="38" fontId="1" fillId="3" borderId="16" xfId="2" applyFont="1" applyFill="1" applyBorder="1" applyAlignment="1">
      <alignment horizontal="center" vertical="center"/>
    </xf>
    <xf numFmtId="38" fontId="3" fillId="0" borderId="0" xfId="2" applyFont="1" applyFill="1" applyBorder="1" applyAlignment="1">
      <alignment vertical="center"/>
    </xf>
    <xf numFmtId="38" fontId="3" fillId="0" borderId="5" xfId="2" applyFont="1" applyFill="1" applyBorder="1" applyAlignment="1">
      <alignment vertical="center"/>
    </xf>
    <xf numFmtId="176" fontId="12" fillId="0" borderId="0" xfId="1" applyNumberFormat="1" applyFont="1" applyFill="1" applyBorder="1" applyAlignment="1">
      <alignment horizontal="center" vertical="center"/>
    </xf>
    <xf numFmtId="38" fontId="3" fillId="2" borderId="19" xfId="2" applyFont="1" applyFill="1" applyBorder="1" applyAlignment="1">
      <alignment horizontal="center" vertical="center"/>
    </xf>
    <xf numFmtId="38" fontId="3" fillId="2" borderId="13" xfId="2" applyFont="1" applyFill="1" applyBorder="1" applyAlignment="1">
      <alignment horizontal="center" vertical="center"/>
    </xf>
    <xf numFmtId="38" fontId="3" fillId="2" borderId="14" xfId="2" applyFont="1" applyFill="1" applyBorder="1" applyAlignment="1">
      <alignment horizontal="center" vertical="center"/>
    </xf>
    <xf numFmtId="38" fontId="3" fillId="2" borderId="18" xfId="2" applyFont="1" applyFill="1" applyBorder="1" applyAlignment="1">
      <alignment horizontal="center" vertical="center"/>
    </xf>
    <xf numFmtId="38" fontId="3" fillId="0" borderId="8" xfId="2" applyFont="1" applyFill="1" applyBorder="1" applyAlignment="1">
      <alignment vertical="center"/>
    </xf>
    <xf numFmtId="38" fontId="3" fillId="0" borderId="9" xfId="2" applyFont="1" applyFill="1" applyBorder="1" applyAlignment="1">
      <alignment vertical="center"/>
    </xf>
    <xf numFmtId="38" fontId="3" fillId="3" borderId="20" xfId="2" applyFont="1" applyFill="1" applyBorder="1" applyAlignment="1">
      <alignment horizontal="center" vertical="center"/>
    </xf>
    <xf numFmtId="38" fontId="3" fillId="3" borderId="15" xfId="2" applyFont="1" applyFill="1" applyBorder="1" applyAlignment="1">
      <alignment horizontal="center" vertical="center"/>
    </xf>
    <xf numFmtId="38" fontId="3" fillId="3" borderId="16" xfId="2" applyFont="1" applyFill="1" applyBorder="1" applyAlignment="1">
      <alignment horizontal="center" vertical="center"/>
    </xf>
    <xf numFmtId="182" fontId="0" fillId="0" borderId="0" xfId="2" applyNumberFormat="1" applyFont="1" applyFill="1" applyAlignment="1">
      <alignment horizontal="center" vertical="center" shrinkToFit="1"/>
    </xf>
    <xf numFmtId="182" fontId="1" fillId="0" borderId="0" xfId="2" applyNumberFormat="1" applyFont="1" applyFill="1" applyAlignment="1">
      <alignment horizontal="center" vertical="center" shrinkToFit="1"/>
    </xf>
    <xf numFmtId="38" fontId="5" fillId="3" borderId="17" xfId="2" applyFont="1" applyFill="1" applyBorder="1" applyAlignment="1">
      <alignment horizontal="center" vertical="center" wrapText="1"/>
    </xf>
    <xf numFmtId="38" fontId="5" fillId="3" borderId="7" xfId="2" applyFont="1" applyFill="1" applyBorder="1" applyAlignment="1">
      <alignment horizontal="center" vertical="center" wrapText="1"/>
    </xf>
    <xf numFmtId="38" fontId="5" fillId="3" borderId="4" xfId="2" applyFont="1" applyFill="1" applyBorder="1" applyAlignment="1">
      <alignment horizontal="center" vertical="center" wrapText="1"/>
    </xf>
    <xf numFmtId="38" fontId="5" fillId="3" borderId="1" xfId="2" applyFont="1" applyFill="1" applyBorder="1" applyAlignment="1">
      <alignment horizontal="center" vertical="center" wrapText="1"/>
    </xf>
    <xf numFmtId="38" fontId="5" fillId="3" borderId="2" xfId="2" applyFont="1" applyFill="1" applyBorder="1" applyAlignment="1">
      <alignment horizontal="center" vertical="center" wrapText="1"/>
    </xf>
    <xf numFmtId="38" fontId="5" fillId="3" borderId="6" xfId="2" applyFont="1" applyFill="1" applyBorder="1" applyAlignment="1">
      <alignment horizontal="center" vertical="center" wrapText="1"/>
    </xf>
    <xf numFmtId="176" fontId="1" fillId="3" borderId="27" xfId="1" applyNumberFormat="1" applyFont="1" applyFill="1" applyBorder="1" applyAlignment="1">
      <alignment horizontal="center" vertical="center"/>
    </xf>
    <xf numFmtId="176" fontId="1" fillId="3" borderId="10" xfId="1" applyNumberFormat="1" applyFont="1" applyFill="1" applyBorder="1" applyAlignment="1">
      <alignment horizontal="center" vertical="center"/>
    </xf>
    <xf numFmtId="176" fontId="1" fillId="3" borderId="11" xfId="1" applyNumberFormat="1" applyFont="1" applyFill="1" applyBorder="1" applyAlignment="1">
      <alignment horizontal="center" vertical="center"/>
    </xf>
    <xf numFmtId="38" fontId="3" fillId="3" borderId="27" xfId="2" applyFont="1" applyFill="1" applyBorder="1" applyAlignment="1">
      <alignment horizontal="center" vertical="center"/>
    </xf>
    <xf numFmtId="38" fontId="3" fillId="3" borderId="10" xfId="2" applyFont="1" applyFill="1" applyBorder="1" applyAlignment="1">
      <alignment horizontal="center" vertical="center"/>
    </xf>
    <xf numFmtId="38" fontId="3" fillId="3" borderId="11" xfId="2" applyFont="1" applyFill="1" applyBorder="1" applyAlignment="1">
      <alignment horizontal="center" vertical="center"/>
    </xf>
    <xf numFmtId="38" fontId="3" fillId="0" borderId="17" xfId="2" applyFont="1" applyFill="1" applyBorder="1" applyAlignment="1">
      <alignment horizontal="center" vertical="center"/>
    </xf>
    <xf numFmtId="38" fontId="3" fillId="0" borderId="7" xfId="2" applyFont="1" applyFill="1" applyBorder="1" applyAlignment="1">
      <alignment horizontal="center" vertical="center"/>
    </xf>
    <xf numFmtId="38" fontId="3" fillId="0" borderId="4" xfId="2" applyFont="1" applyFill="1" applyBorder="1" applyAlignment="1">
      <alignment horizontal="center" vertical="center"/>
    </xf>
    <xf numFmtId="38" fontId="3" fillId="0" borderId="1" xfId="2" applyFont="1" applyFill="1" applyBorder="1" applyAlignment="1">
      <alignment horizontal="center" vertical="center"/>
    </xf>
    <xf numFmtId="38" fontId="3" fillId="0" borderId="2" xfId="2" applyFont="1" applyFill="1" applyBorder="1" applyAlignment="1">
      <alignment horizontal="center" vertical="center"/>
    </xf>
    <xf numFmtId="38" fontId="3" fillId="0" borderId="6" xfId="2" applyFont="1" applyFill="1" applyBorder="1" applyAlignment="1">
      <alignment horizontal="center" vertical="center"/>
    </xf>
    <xf numFmtId="38" fontId="3" fillId="0" borderId="21" xfId="2" applyFont="1" applyFill="1" applyBorder="1" applyAlignment="1">
      <alignment horizontal="center" vertical="center"/>
    </xf>
    <xf numFmtId="178" fontId="12" fillId="0" borderId="21" xfId="2" applyNumberFormat="1" applyFont="1" applyFill="1" applyBorder="1" applyAlignment="1">
      <alignment horizontal="center" vertical="center"/>
    </xf>
    <xf numFmtId="178" fontId="12" fillId="0" borderId="20" xfId="2" applyNumberFormat="1" applyFont="1" applyFill="1" applyBorder="1" applyAlignment="1">
      <alignment horizontal="center" vertical="center"/>
    </xf>
    <xf numFmtId="178" fontId="12" fillId="0" borderId="15" xfId="2" applyNumberFormat="1" applyFont="1" applyFill="1" applyBorder="1" applyAlignment="1">
      <alignment horizontal="center" vertical="center"/>
    </xf>
    <xf numFmtId="178" fontId="12" fillId="0" borderId="16" xfId="2" applyNumberFormat="1" applyFont="1" applyFill="1" applyBorder="1" applyAlignment="1">
      <alignment horizontal="center" vertical="center"/>
    </xf>
    <xf numFmtId="38" fontId="3" fillId="2" borderId="17" xfId="2" applyFont="1" applyFill="1" applyBorder="1" applyAlignment="1">
      <alignment horizontal="center" vertical="center"/>
    </xf>
    <xf numFmtId="38" fontId="3" fillId="2" borderId="7" xfId="2" applyFont="1" applyFill="1" applyBorder="1" applyAlignment="1">
      <alignment horizontal="center" vertical="center"/>
    </xf>
    <xf numFmtId="38" fontId="3" fillId="2" borderId="4" xfId="2" applyFont="1" applyFill="1" applyBorder="1" applyAlignment="1">
      <alignment horizontal="center" vertical="center"/>
    </xf>
    <xf numFmtId="38" fontId="3" fillId="2" borderId="1" xfId="2" applyFont="1" applyFill="1" applyBorder="1" applyAlignment="1">
      <alignment horizontal="center" vertical="center"/>
    </xf>
    <xf numFmtId="38" fontId="3" fillId="2" borderId="2" xfId="2" applyFont="1" applyFill="1" applyBorder="1" applyAlignment="1">
      <alignment horizontal="center" vertical="center"/>
    </xf>
    <xf numFmtId="38" fontId="3" fillId="2" borderId="6" xfId="2" applyFont="1" applyFill="1" applyBorder="1" applyAlignment="1">
      <alignment horizontal="center" vertical="center"/>
    </xf>
    <xf numFmtId="38" fontId="3" fillId="2" borderId="17" xfId="2" applyFont="1" applyFill="1" applyBorder="1" applyAlignment="1">
      <alignment horizontal="center" vertical="center" wrapText="1"/>
    </xf>
    <xf numFmtId="38" fontId="3" fillId="2" borderId="7" xfId="2" applyFont="1" applyFill="1" applyBorder="1" applyAlignment="1">
      <alignment horizontal="center" vertical="center" wrapText="1"/>
    </xf>
    <xf numFmtId="38" fontId="3" fillId="2" borderId="4" xfId="2" applyFont="1" applyFill="1" applyBorder="1" applyAlignment="1">
      <alignment horizontal="center" vertical="center" wrapText="1"/>
    </xf>
    <xf numFmtId="38" fontId="3" fillId="2" borderId="1" xfId="2" applyFont="1" applyFill="1" applyBorder="1" applyAlignment="1">
      <alignment horizontal="center" vertical="center" wrapText="1"/>
    </xf>
    <xf numFmtId="38" fontId="3" fillId="2" borderId="2" xfId="2" applyFont="1" applyFill="1" applyBorder="1" applyAlignment="1">
      <alignment horizontal="center" vertical="center" wrapText="1"/>
    </xf>
    <xf numFmtId="38" fontId="3" fillId="2" borderId="6" xfId="2" applyFont="1" applyFill="1" applyBorder="1" applyAlignment="1">
      <alignment horizontal="center" vertical="center" wrapText="1"/>
    </xf>
    <xf numFmtId="38" fontId="3" fillId="2" borderId="21" xfId="2" applyFont="1" applyFill="1" applyBorder="1" applyAlignment="1">
      <alignment horizontal="center" vertical="center" wrapText="1"/>
    </xf>
    <xf numFmtId="38" fontId="3" fillId="2" borderId="35" xfId="2" applyFont="1" applyFill="1" applyBorder="1" applyAlignment="1">
      <alignment horizontal="center" vertical="center" wrapText="1"/>
    </xf>
    <xf numFmtId="38" fontId="3" fillId="0" borderId="28" xfId="2" applyFont="1" applyFill="1" applyBorder="1" applyAlignment="1">
      <alignment horizontal="center" vertical="center"/>
    </xf>
    <xf numFmtId="176" fontId="12" fillId="0" borderId="28" xfId="1" applyNumberFormat="1" applyFont="1" applyFill="1" applyBorder="1" applyAlignment="1">
      <alignment horizontal="center" vertical="center"/>
    </xf>
    <xf numFmtId="176" fontId="12" fillId="0" borderId="27" xfId="1" applyNumberFormat="1" applyFont="1" applyFill="1" applyBorder="1" applyAlignment="1">
      <alignment horizontal="center" vertical="center"/>
    </xf>
    <xf numFmtId="176" fontId="12" fillId="0" borderId="10" xfId="1" applyNumberFormat="1" applyFont="1" applyFill="1" applyBorder="1" applyAlignment="1">
      <alignment horizontal="center" vertical="center"/>
    </xf>
    <xf numFmtId="176" fontId="12" fillId="0" borderId="11" xfId="1" applyNumberFormat="1" applyFont="1" applyFill="1" applyBorder="1" applyAlignment="1">
      <alignment horizontal="center" vertical="center"/>
    </xf>
    <xf numFmtId="38" fontId="8" fillId="2" borderId="17" xfId="2" applyFont="1" applyFill="1" applyBorder="1" applyAlignment="1">
      <alignment horizontal="center" vertical="center" wrapText="1"/>
    </xf>
    <xf numFmtId="38" fontId="8" fillId="2" borderId="4" xfId="2" applyFont="1" applyFill="1" applyBorder="1" applyAlignment="1">
      <alignment horizontal="center" vertical="center" wrapText="1"/>
    </xf>
    <xf numFmtId="38" fontId="8" fillId="2" borderId="1" xfId="2" applyFont="1" applyFill="1" applyBorder="1" applyAlignment="1">
      <alignment horizontal="center" vertical="center" wrapText="1"/>
    </xf>
    <xf numFmtId="38" fontId="8" fillId="2" borderId="6" xfId="2" applyFont="1" applyFill="1" applyBorder="1" applyAlignment="1">
      <alignment horizontal="center" vertical="center" wrapText="1"/>
    </xf>
    <xf numFmtId="38" fontId="5" fillId="0" borderId="17" xfId="2" applyFont="1" applyFill="1" applyBorder="1" applyAlignment="1">
      <alignment horizontal="center" vertical="center" wrapText="1"/>
    </xf>
    <xf numFmtId="38" fontId="5" fillId="0" borderId="7" xfId="2" applyFont="1" applyFill="1" applyBorder="1" applyAlignment="1">
      <alignment horizontal="center" vertical="center" wrapText="1"/>
    </xf>
    <xf numFmtId="38" fontId="5" fillId="0" borderId="4" xfId="2" applyFont="1" applyFill="1" applyBorder="1" applyAlignment="1">
      <alignment horizontal="center" vertical="center" wrapText="1"/>
    </xf>
    <xf numFmtId="38" fontId="5" fillId="0" borderId="25" xfId="2" applyFont="1" applyFill="1" applyBorder="1" applyAlignment="1">
      <alignment horizontal="center" vertical="center" wrapText="1"/>
    </xf>
    <xf numFmtId="38" fontId="5" fillId="0" borderId="33" xfId="2" applyFont="1" applyFill="1" applyBorder="1" applyAlignment="1">
      <alignment horizontal="center" vertical="center" wrapText="1"/>
    </xf>
    <xf numFmtId="38" fontId="5" fillId="0" borderId="26" xfId="2" applyFont="1" applyFill="1" applyBorder="1" applyAlignment="1">
      <alignment horizontal="center" vertical="center" wrapText="1"/>
    </xf>
    <xf numFmtId="38" fontId="3" fillId="0" borderId="25" xfId="2" applyFont="1" applyFill="1" applyBorder="1" applyAlignment="1">
      <alignment horizontal="center" vertical="center"/>
    </xf>
    <xf numFmtId="38" fontId="3" fillId="0" borderId="33" xfId="2" applyFont="1" applyFill="1" applyBorder="1" applyAlignment="1">
      <alignment horizontal="center" vertical="center"/>
    </xf>
    <xf numFmtId="38" fontId="3" fillId="0" borderId="26" xfId="2" applyFont="1" applyFill="1" applyBorder="1" applyAlignment="1">
      <alignment horizontal="center" vertical="center"/>
    </xf>
    <xf numFmtId="38" fontId="3" fillId="0" borderId="40" xfId="2" applyFont="1" applyFill="1" applyBorder="1" applyAlignment="1">
      <alignment horizontal="center" vertical="center"/>
    </xf>
    <xf numFmtId="38" fontId="5" fillId="0" borderId="1" xfId="2" applyFont="1" applyFill="1" applyBorder="1" applyAlignment="1">
      <alignment horizontal="center" vertical="center" wrapText="1"/>
    </xf>
    <xf numFmtId="38" fontId="5" fillId="0" borderId="2" xfId="2" applyFont="1" applyFill="1" applyBorder="1" applyAlignment="1">
      <alignment horizontal="center" vertical="center" wrapText="1"/>
    </xf>
    <xf numFmtId="38" fontId="5" fillId="0" borderId="6" xfId="2" applyFont="1" applyFill="1" applyBorder="1" applyAlignment="1">
      <alignment horizontal="center" vertical="center" wrapText="1"/>
    </xf>
    <xf numFmtId="38" fontId="3" fillId="0" borderId="35" xfId="2" applyFont="1" applyFill="1" applyBorder="1" applyAlignment="1">
      <alignment horizontal="center" vertical="center"/>
    </xf>
    <xf numFmtId="38" fontId="3" fillId="3" borderId="21" xfId="2" applyFont="1" applyFill="1" applyBorder="1" applyAlignment="1">
      <alignment horizontal="center" vertical="center"/>
    </xf>
    <xf numFmtId="38" fontId="3" fillId="3" borderId="40" xfId="2" applyFont="1" applyFill="1" applyBorder="1" applyAlignment="1">
      <alignment horizontal="center" vertical="center"/>
    </xf>
    <xf numFmtId="38" fontId="3" fillId="3" borderId="17" xfId="2" applyFont="1" applyFill="1" applyBorder="1" applyAlignment="1">
      <alignment horizontal="center" vertical="center"/>
    </xf>
    <xf numFmtId="38" fontId="3" fillId="3" borderId="7" xfId="2" applyFont="1" applyFill="1" applyBorder="1" applyAlignment="1">
      <alignment horizontal="center" vertical="center"/>
    </xf>
    <xf numFmtId="38" fontId="3" fillId="3" borderId="4" xfId="2" applyFont="1" applyFill="1" applyBorder="1" applyAlignment="1">
      <alignment horizontal="center" vertical="center"/>
    </xf>
    <xf numFmtId="38" fontId="3" fillId="3" borderId="25" xfId="2" applyFont="1" applyFill="1" applyBorder="1" applyAlignment="1">
      <alignment horizontal="center" vertical="center"/>
    </xf>
    <xf numFmtId="38" fontId="3" fillId="3" borderId="33" xfId="2" applyFont="1" applyFill="1" applyBorder="1" applyAlignment="1">
      <alignment horizontal="center" vertical="center"/>
    </xf>
    <xf numFmtId="38" fontId="3" fillId="3" borderId="26" xfId="2" applyFont="1" applyFill="1" applyBorder="1" applyAlignment="1">
      <alignment horizontal="center" vertical="center"/>
    </xf>
    <xf numFmtId="38" fontId="3" fillId="0" borderId="3" xfId="2" applyFont="1" applyFill="1" applyBorder="1" applyAlignment="1">
      <alignment horizontal="center" vertical="center"/>
    </xf>
    <xf numFmtId="38" fontId="3" fillId="0" borderId="0" xfId="2" applyFont="1" applyFill="1" applyBorder="1" applyAlignment="1">
      <alignment horizontal="center" vertical="center"/>
    </xf>
    <xf numFmtId="38" fontId="3" fillId="0" borderId="5" xfId="2" applyFont="1" applyFill="1" applyBorder="1" applyAlignment="1">
      <alignment horizontal="center" vertical="center"/>
    </xf>
    <xf numFmtId="38" fontId="3" fillId="3" borderId="35" xfId="2" applyFont="1" applyFill="1" applyBorder="1" applyAlignment="1">
      <alignment horizontal="center" vertical="center"/>
    </xf>
    <xf numFmtId="38" fontId="3" fillId="3" borderId="1" xfId="2" applyFont="1" applyFill="1" applyBorder="1" applyAlignment="1">
      <alignment horizontal="center" vertical="center"/>
    </xf>
    <xf numFmtId="38" fontId="3" fillId="3" borderId="2" xfId="2" applyFont="1" applyFill="1" applyBorder="1" applyAlignment="1">
      <alignment horizontal="center" vertical="center"/>
    </xf>
    <xf numFmtId="38" fontId="3" fillId="3" borderId="6" xfId="2" applyFont="1" applyFill="1" applyBorder="1" applyAlignment="1">
      <alignment horizontal="center" vertical="center"/>
    </xf>
    <xf numFmtId="38" fontId="12" fillId="2" borderId="18" xfId="2" applyFont="1" applyFill="1" applyBorder="1" applyAlignment="1">
      <alignment horizontal="center" vertical="center"/>
    </xf>
    <xf numFmtId="38" fontId="0" fillId="0" borderId="19" xfId="2" applyFont="1" applyFill="1" applyBorder="1" applyAlignment="1">
      <alignment horizontal="center" vertical="center"/>
    </xf>
    <xf numFmtId="38" fontId="0" fillId="0" borderId="13" xfId="2" applyFont="1" applyFill="1" applyBorder="1" applyAlignment="1">
      <alignment horizontal="center" vertical="center"/>
    </xf>
    <xf numFmtId="38" fontId="0" fillId="0" borderId="14" xfId="2" applyFont="1" applyFill="1" applyBorder="1" applyAlignment="1">
      <alignment horizontal="center" vertical="center"/>
    </xf>
    <xf numFmtId="178" fontId="12" fillId="0" borderId="19" xfId="2" applyNumberFormat="1" applyFont="1" applyFill="1" applyBorder="1" applyAlignment="1">
      <alignment horizontal="center" vertical="center"/>
    </xf>
    <xf numFmtId="178" fontId="12" fillId="0" borderId="13" xfId="2" applyNumberFormat="1" applyFont="1" applyFill="1" applyBorder="1" applyAlignment="1">
      <alignment horizontal="center" vertical="center"/>
    </xf>
    <xf numFmtId="178" fontId="12" fillId="0" borderId="14" xfId="2" applyNumberFormat="1" applyFont="1" applyFill="1" applyBorder="1" applyAlignment="1">
      <alignment horizontal="center" vertical="center"/>
    </xf>
    <xf numFmtId="178" fontId="12" fillId="0" borderId="19" xfId="2" applyNumberFormat="1" applyFont="1" applyFill="1" applyBorder="1" applyAlignment="1">
      <alignment horizontal="right" vertical="center"/>
    </xf>
    <xf numFmtId="178" fontId="12" fillId="0" borderId="13" xfId="2" applyNumberFormat="1" applyFont="1" applyFill="1" applyBorder="1" applyAlignment="1">
      <alignment horizontal="right" vertical="center"/>
    </xf>
    <xf numFmtId="178" fontId="12" fillId="0" borderId="14" xfId="2" applyNumberFormat="1" applyFont="1" applyFill="1" applyBorder="1" applyAlignment="1">
      <alignment horizontal="right" vertical="center"/>
    </xf>
    <xf numFmtId="178" fontId="0" fillId="0" borderId="19" xfId="2" applyNumberFormat="1" applyFont="1" applyFill="1" applyBorder="1" applyAlignment="1">
      <alignment horizontal="center" vertical="center" shrinkToFit="1"/>
    </xf>
    <xf numFmtId="178" fontId="0" fillId="0" borderId="13" xfId="2" applyNumberFormat="1" applyFont="1" applyFill="1" applyBorder="1" applyAlignment="1">
      <alignment horizontal="center" vertical="center" shrinkToFit="1"/>
    </xf>
    <xf numFmtId="178" fontId="0" fillId="0" borderId="14" xfId="2" applyNumberFormat="1" applyFont="1" applyFill="1" applyBorder="1" applyAlignment="1">
      <alignment horizontal="center" vertical="center" shrinkToFit="1"/>
    </xf>
    <xf numFmtId="178" fontId="1" fillId="0" borderId="19" xfId="2" applyNumberFormat="1" applyFont="1" applyFill="1" applyBorder="1" applyAlignment="1">
      <alignment horizontal="right" vertical="center"/>
    </xf>
    <xf numFmtId="178" fontId="1" fillId="0" borderId="13" xfId="2" applyNumberFormat="1" applyFont="1" applyFill="1" applyBorder="1" applyAlignment="1">
      <alignment horizontal="right" vertical="center"/>
    </xf>
    <xf numFmtId="178" fontId="1" fillId="0" borderId="14" xfId="2" applyNumberFormat="1" applyFont="1" applyFill="1" applyBorder="1" applyAlignment="1">
      <alignment horizontal="right" vertical="center"/>
    </xf>
    <xf numFmtId="38" fontId="1" fillId="0" borderId="18" xfId="2" applyFont="1" applyFill="1" applyBorder="1" applyAlignment="1">
      <alignment horizontal="center" vertical="center"/>
    </xf>
    <xf numFmtId="178" fontId="1" fillId="0" borderId="19" xfId="2" applyNumberFormat="1" applyFont="1" applyFill="1" applyBorder="1" applyAlignment="1">
      <alignment horizontal="center" vertical="center"/>
    </xf>
    <xf numFmtId="178" fontId="1" fillId="0" borderId="13" xfId="2" applyNumberFormat="1" applyFont="1" applyFill="1" applyBorder="1" applyAlignment="1">
      <alignment horizontal="center" vertical="center"/>
    </xf>
    <xf numFmtId="178" fontId="1" fillId="0" borderId="14" xfId="2" applyNumberFormat="1" applyFont="1" applyFill="1" applyBorder="1" applyAlignment="1">
      <alignment horizontal="center" vertical="center"/>
    </xf>
    <xf numFmtId="38" fontId="1" fillId="3" borderId="18" xfId="2" applyFont="1" applyFill="1" applyBorder="1" applyAlignment="1">
      <alignment horizontal="center" vertical="center"/>
    </xf>
    <xf numFmtId="38" fontId="0" fillId="2" borderId="19" xfId="2" applyFont="1" applyFill="1" applyBorder="1" applyAlignment="1">
      <alignment horizontal="center" vertical="center"/>
    </xf>
    <xf numFmtId="38" fontId="0" fillId="2" borderId="13" xfId="2" applyFont="1" applyFill="1" applyBorder="1" applyAlignment="1">
      <alignment horizontal="center" vertical="center"/>
    </xf>
    <xf numFmtId="38" fontId="0" fillId="2" borderId="14" xfId="2" applyFont="1" applyFill="1" applyBorder="1" applyAlignment="1">
      <alignment horizontal="center" vertical="center"/>
    </xf>
    <xf numFmtId="38" fontId="0" fillId="2" borderId="18" xfId="2" applyFont="1" applyFill="1" applyBorder="1" applyAlignment="1">
      <alignment horizontal="center" vertical="center"/>
    </xf>
    <xf numFmtId="38" fontId="6" fillId="0" borderId="0" xfId="2" applyFont="1" applyFill="1" applyAlignment="1">
      <alignment horizontal="center" vertical="center"/>
    </xf>
    <xf numFmtId="38" fontId="6" fillId="0" borderId="18" xfId="2" applyFont="1" applyBorder="1" applyAlignment="1">
      <alignment horizontal="center" vertical="center"/>
    </xf>
    <xf numFmtId="38" fontId="6" fillId="0" borderId="19" xfId="2" applyFont="1" applyFill="1" applyBorder="1" applyAlignment="1">
      <alignment horizontal="center" vertical="center"/>
    </xf>
    <xf numFmtId="38" fontId="6" fillId="0" borderId="13" xfId="2" applyFont="1" applyFill="1" applyBorder="1" applyAlignment="1">
      <alignment horizontal="center" vertical="center"/>
    </xf>
    <xf numFmtId="38" fontId="6" fillId="0" borderId="14" xfId="2" applyFont="1" applyFill="1" applyBorder="1" applyAlignment="1">
      <alignment horizontal="center" vertical="center"/>
    </xf>
    <xf numFmtId="38" fontId="6" fillId="3" borderId="19" xfId="2" applyFont="1" applyFill="1" applyBorder="1" applyAlignment="1">
      <alignment horizontal="center" vertical="center"/>
    </xf>
    <xf numFmtId="38" fontId="6" fillId="3" borderId="13" xfId="2" applyFont="1" applyFill="1" applyBorder="1" applyAlignment="1">
      <alignment horizontal="center" vertical="center"/>
    </xf>
    <xf numFmtId="38" fontId="6" fillId="3" borderId="14" xfId="2" applyFont="1" applyFill="1" applyBorder="1" applyAlignment="1">
      <alignment horizontal="center" vertical="center"/>
    </xf>
    <xf numFmtId="38" fontId="6" fillId="0" borderId="18" xfId="2" applyFont="1" applyFill="1" applyBorder="1" applyAlignment="1">
      <alignment horizontal="center" vertical="center"/>
    </xf>
    <xf numFmtId="38" fontId="6" fillId="3" borderId="18" xfId="2" applyFont="1" applyFill="1" applyBorder="1" applyAlignment="1">
      <alignment horizontal="center" vertical="center"/>
    </xf>
    <xf numFmtId="38" fontId="6" fillId="2" borderId="17" xfId="2" applyFont="1" applyFill="1" applyBorder="1" applyAlignment="1">
      <alignment horizontal="center" vertical="center"/>
    </xf>
    <xf numFmtId="38" fontId="6" fillId="2" borderId="7" xfId="2" applyFont="1" applyFill="1" applyBorder="1" applyAlignment="1">
      <alignment horizontal="center" vertical="center"/>
    </xf>
    <xf numFmtId="38" fontId="6" fillId="2" borderId="4" xfId="2" applyFont="1" applyFill="1" applyBorder="1" applyAlignment="1">
      <alignment horizontal="center" vertical="center"/>
    </xf>
    <xf numFmtId="38" fontId="6" fillId="0" borderId="17" xfId="2" applyFont="1" applyFill="1" applyBorder="1" applyAlignment="1">
      <alignment horizontal="center" vertical="center" wrapText="1"/>
    </xf>
    <xf numFmtId="38" fontId="6" fillId="0" borderId="7" xfId="2" applyFont="1" applyFill="1" applyBorder="1" applyAlignment="1">
      <alignment horizontal="center" vertical="center"/>
    </xf>
    <xf numFmtId="38" fontId="6" fillId="0" borderId="4" xfId="2" applyFont="1" applyFill="1" applyBorder="1" applyAlignment="1">
      <alignment horizontal="center" vertical="center"/>
    </xf>
    <xf numFmtId="38" fontId="6" fillId="0" borderId="3" xfId="2" applyFont="1" applyFill="1" applyBorder="1" applyAlignment="1">
      <alignment horizontal="center" vertical="center"/>
    </xf>
    <xf numFmtId="38" fontId="6" fillId="0" borderId="0" xfId="2" applyFont="1" applyFill="1" applyBorder="1" applyAlignment="1">
      <alignment horizontal="center" vertical="center"/>
    </xf>
    <xf numFmtId="38" fontId="6" fillId="0" borderId="5" xfId="2" applyFont="1" applyFill="1" applyBorder="1" applyAlignment="1">
      <alignment horizontal="center" vertical="center"/>
    </xf>
    <xf numFmtId="38" fontId="6" fillId="0" borderId="1" xfId="2" applyFont="1" applyFill="1" applyBorder="1" applyAlignment="1">
      <alignment horizontal="center" vertical="center"/>
    </xf>
    <xf numFmtId="38" fontId="6" fillId="0" borderId="2" xfId="2" applyFont="1" applyFill="1" applyBorder="1" applyAlignment="1">
      <alignment horizontal="center" vertical="center"/>
    </xf>
    <xf numFmtId="38" fontId="6" fillId="0" borderId="6" xfId="2" applyFont="1" applyFill="1" applyBorder="1" applyAlignment="1">
      <alignment horizontal="center" vertical="center"/>
    </xf>
    <xf numFmtId="38" fontId="6" fillId="0" borderId="41" xfId="2" applyFont="1" applyFill="1" applyBorder="1" applyAlignment="1">
      <alignment horizontal="center" vertical="center"/>
    </xf>
    <xf numFmtId="0" fontId="6" fillId="0" borderId="41" xfId="2" applyNumberFormat="1" applyFont="1" applyFill="1" applyBorder="1" applyAlignment="1">
      <alignment horizontal="center" vertical="center"/>
    </xf>
    <xf numFmtId="176" fontId="6" fillId="0" borderId="41" xfId="1" applyNumberFormat="1" applyFont="1" applyFill="1" applyBorder="1" applyAlignment="1">
      <alignment horizontal="center" vertical="center"/>
    </xf>
    <xf numFmtId="38" fontId="6" fillId="0" borderId="41" xfId="2" applyNumberFormat="1" applyFont="1" applyFill="1" applyBorder="1" applyAlignment="1">
      <alignment horizontal="center" vertical="center"/>
    </xf>
    <xf numFmtId="38" fontId="6" fillId="3" borderId="41" xfId="2" applyNumberFormat="1" applyFont="1" applyFill="1" applyBorder="1" applyAlignment="1">
      <alignment horizontal="center" vertical="center"/>
    </xf>
    <xf numFmtId="0" fontId="6" fillId="3" borderId="41" xfId="2" applyNumberFormat="1" applyFont="1" applyFill="1" applyBorder="1" applyAlignment="1">
      <alignment horizontal="center" vertical="center"/>
    </xf>
    <xf numFmtId="176" fontId="6" fillId="3" borderId="42" xfId="1" applyNumberFormat="1" applyFont="1" applyFill="1" applyBorder="1" applyAlignment="1">
      <alignment horizontal="center" vertical="center"/>
    </xf>
    <xf numFmtId="38" fontId="6" fillId="0" borderId="42" xfId="2" applyFont="1" applyFill="1" applyBorder="1" applyAlignment="1">
      <alignment horizontal="center" vertical="center"/>
    </xf>
    <xf numFmtId="38" fontId="6" fillId="2" borderId="1" xfId="2" applyFont="1" applyFill="1" applyBorder="1" applyAlignment="1">
      <alignment horizontal="center" vertical="center"/>
    </xf>
    <xf numFmtId="38" fontId="6" fillId="2" borderId="2" xfId="2" applyFont="1" applyFill="1" applyBorder="1" applyAlignment="1">
      <alignment horizontal="center" vertical="center"/>
    </xf>
    <xf numFmtId="38" fontId="6" fillId="2" borderId="6" xfId="2" applyFont="1" applyFill="1" applyBorder="1" applyAlignment="1">
      <alignment horizontal="center" vertical="center"/>
    </xf>
    <xf numFmtId="38" fontId="6" fillId="2" borderId="21" xfId="2" applyFont="1" applyFill="1" applyBorder="1" applyAlignment="1">
      <alignment horizontal="center" vertical="center"/>
    </xf>
    <xf numFmtId="181" fontId="21" fillId="0" borderId="0" xfId="2" applyNumberFormat="1" applyFont="1" applyAlignment="1">
      <alignment horizontal="right" vertical="center" shrinkToFit="1"/>
    </xf>
    <xf numFmtId="0" fontId="6" fillId="0" borderId="42" xfId="2" applyNumberFormat="1" applyFont="1" applyFill="1" applyBorder="1" applyAlignment="1">
      <alignment horizontal="center" vertical="center"/>
    </xf>
    <xf numFmtId="176" fontId="6" fillId="0" borderId="42" xfId="1" applyNumberFormat="1" applyFont="1" applyFill="1" applyBorder="1" applyAlignment="1">
      <alignment horizontal="center" vertical="center"/>
    </xf>
    <xf numFmtId="38" fontId="6" fillId="0" borderId="42" xfId="2" applyNumberFormat="1" applyFont="1" applyFill="1" applyBorder="1" applyAlignment="1">
      <alignment horizontal="center" vertical="center"/>
    </xf>
    <xf numFmtId="176" fontId="6" fillId="0" borderId="47" xfId="1" applyNumberFormat="1" applyFont="1" applyFill="1" applyBorder="1" applyAlignment="1">
      <alignment horizontal="center" vertical="center"/>
    </xf>
    <xf numFmtId="176" fontId="6" fillId="0" borderId="48" xfId="1" applyNumberFormat="1" applyFont="1" applyFill="1" applyBorder="1" applyAlignment="1">
      <alignment horizontal="center" vertical="center"/>
    </xf>
    <xf numFmtId="176" fontId="6" fillId="0" borderId="49" xfId="1" applyNumberFormat="1" applyFont="1" applyFill="1" applyBorder="1" applyAlignment="1">
      <alignment horizontal="center" vertical="center"/>
    </xf>
    <xf numFmtId="38" fontId="6" fillId="3" borderId="42" xfId="2" applyNumberFormat="1" applyFont="1" applyFill="1" applyBorder="1" applyAlignment="1">
      <alignment horizontal="center" vertical="center"/>
    </xf>
    <xf numFmtId="0" fontId="6" fillId="3" borderId="42" xfId="2" applyNumberFormat="1" applyFont="1" applyFill="1" applyBorder="1" applyAlignment="1">
      <alignment horizontal="center" vertical="center"/>
    </xf>
    <xf numFmtId="38" fontId="6" fillId="0" borderId="42" xfId="2" applyFont="1" applyFill="1" applyBorder="1" applyAlignment="1">
      <alignment horizontal="center" vertical="center" shrinkToFit="1"/>
    </xf>
    <xf numFmtId="38" fontId="12" fillId="0" borderId="0" xfId="2" applyFont="1" applyFill="1" applyAlignment="1">
      <alignment horizontal="center" vertical="center"/>
    </xf>
    <xf numFmtId="9" fontId="6" fillId="0" borderId="0" xfId="2" applyNumberFormat="1" applyFont="1" applyFill="1" applyAlignment="1">
      <alignment horizontal="center" vertical="center"/>
    </xf>
    <xf numFmtId="38" fontId="6" fillId="0" borderId="0" xfId="2" applyFont="1" applyAlignment="1">
      <alignment horizontal="center" vertical="center"/>
    </xf>
    <xf numFmtId="176" fontId="6" fillId="0" borderId="50" xfId="1" applyNumberFormat="1" applyFont="1" applyFill="1" applyBorder="1" applyAlignment="1">
      <alignment horizontal="center" vertical="center"/>
    </xf>
    <xf numFmtId="176" fontId="6" fillId="0" borderId="51" xfId="1" applyNumberFormat="1" applyFont="1" applyFill="1" applyBorder="1" applyAlignment="1">
      <alignment horizontal="center" vertical="center"/>
    </xf>
    <xf numFmtId="176" fontId="6" fillId="0" borderId="52" xfId="1" applyNumberFormat="1" applyFont="1" applyFill="1" applyBorder="1" applyAlignment="1">
      <alignment horizontal="center" vertical="center"/>
    </xf>
    <xf numFmtId="38" fontId="6" fillId="0" borderId="43" xfId="2" applyFont="1" applyFill="1" applyBorder="1" applyAlignment="1">
      <alignment horizontal="center" vertical="center"/>
    </xf>
    <xf numFmtId="0" fontId="6" fillId="0" borderId="43" xfId="2" applyNumberFormat="1" applyFont="1" applyFill="1" applyBorder="1" applyAlignment="1">
      <alignment horizontal="center" vertical="center"/>
    </xf>
    <xf numFmtId="176" fontId="6" fillId="0" borderId="43" xfId="1" applyNumberFormat="1" applyFont="1" applyFill="1" applyBorder="1" applyAlignment="1">
      <alignment horizontal="center" vertical="center"/>
    </xf>
    <xf numFmtId="38" fontId="6" fillId="0" borderId="43" xfId="2" applyNumberFormat="1" applyFont="1" applyFill="1" applyBorder="1" applyAlignment="1">
      <alignment horizontal="center" vertical="center"/>
    </xf>
    <xf numFmtId="176" fontId="6" fillId="0" borderId="44" xfId="1" applyNumberFormat="1" applyFont="1" applyFill="1" applyBorder="1" applyAlignment="1">
      <alignment horizontal="center" vertical="center"/>
    </xf>
    <xf numFmtId="176" fontId="6" fillId="0" borderId="45" xfId="1" applyNumberFormat="1" applyFont="1" applyFill="1" applyBorder="1" applyAlignment="1">
      <alignment horizontal="center" vertical="center"/>
    </xf>
    <xf numFmtId="176" fontId="6" fillId="0" borderId="46" xfId="1" applyNumberFormat="1" applyFont="1" applyFill="1" applyBorder="1" applyAlignment="1">
      <alignment horizontal="center" vertical="center"/>
    </xf>
    <xf numFmtId="38" fontId="6" fillId="3" borderId="43" xfId="2" applyNumberFormat="1" applyFont="1" applyFill="1" applyBorder="1" applyAlignment="1">
      <alignment horizontal="center" vertical="center"/>
    </xf>
    <xf numFmtId="0" fontId="6" fillId="3" borderId="43" xfId="2" applyNumberFormat="1" applyFont="1" applyFill="1" applyBorder="1" applyAlignment="1">
      <alignment horizontal="center" vertical="center"/>
    </xf>
    <xf numFmtId="176" fontId="6" fillId="3" borderId="41" xfId="1" applyNumberFormat="1" applyFont="1" applyFill="1" applyBorder="1" applyAlignment="1">
      <alignment horizontal="center" vertical="center"/>
    </xf>
    <xf numFmtId="38" fontId="5" fillId="0" borderId="18" xfId="2" applyFont="1" applyBorder="1" applyAlignment="1">
      <alignment horizontal="center" vertical="center"/>
    </xf>
    <xf numFmtId="38" fontId="1" fillId="0" borderId="18" xfId="2" applyFont="1" applyBorder="1" applyAlignment="1">
      <alignment horizontal="center" vertical="center"/>
    </xf>
    <xf numFmtId="176" fontId="6" fillId="3" borderId="43" xfId="1" applyNumberFormat="1" applyFont="1" applyFill="1" applyBorder="1" applyAlignment="1">
      <alignment horizontal="center" vertical="center"/>
    </xf>
    <xf numFmtId="38" fontId="5" fillId="3" borderId="18" xfId="2" applyFont="1" applyFill="1" applyBorder="1" applyAlignment="1">
      <alignment horizontal="center" vertical="center"/>
    </xf>
    <xf numFmtId="38" fontId="1" fillId="0" borderId="0" xfId="2" applyAlignment="1">
      <alignment horizontal="center" vertical="center"/>
    </xf>
    <xf numFmtId="38" fontId="0" fillId="0" borderId="0" xfId="2" applyFont="1" applyAlignment="1">
      <alignment horizontal="center" vertical="center"/>
    </xf>
    <xf numFmtId="182" fontId="1" fillId="0" borderId="0" xfId="2" applyNumberFormat="1" applyAlignment="1">
      <alignment horizontal="center" vertical="center"/>
    </xf>
    <xf numFmtId="38" fontId="1" fillId="0" borderId="0" xfId="2" applyFont="1" applyFill="1" applyBorder="1" applyAlignment="1">
      <alignment horizontal="right" vertical="center"/>
    </xf>
    <xf numFmtId="176" fontId="6" fillId="3" borderId="21" xfId="1" applyNumberFormat="1" applyFont="1" applyFill="1" applyBorder="1" applyAlignment="1">
      <alignment horizontal="center" vertical="center"/>
    </xf>
    <xf numFmtId="38" fontId="4" fillId="3" borderId="0" xfId="2" applyFont="1" applyFill="1" applyAlignment="1">
      <alignment horizontal="right" vertical="center"/>
    </xf>
    <xf numFmtId="38" fontId="4" fillId="3" borderId="0" xfId="2" applyFont="1" applyFill="1" applyAlignment="1">
      <alignment horizontal="right" vertical="center" wrapText="1"/>
    </xf>
    <xf numFmtId="38" fontId="0" fillId="3" borderId="0" xfId="2" applyFont="1" applyFill="1" applyAlignment="1">
      <alignment horizontal="left" vertical="center"/>
    </xf>
    <xf numFmtId="38" fontId="5" fillId="0" borderId="18" xfId="2" applyFont="1" applyFill="1" applyBorder="1" applyAlignment="1">
      <alignment horizontal="center" vertical="center"/>
    </xf>
    <xf numFmtId="38" fontId="0" fillId="0" borderId="0" xfId="2" applyFont="1" applyFill="1" applyAlignment="1">
      <alignment horizontal="right" vertical="center"/>
    </xf>
    <xf numFmtId="38" fontId="3" fillId="0" borderId="20" xfId="2" applyFont="1" applyFill="1" applyBorder="1" applyAlignment="1">
      <alignment horizontal="center" vertical="center"/>
    </xf>
    <xf numFmtId="38" fontId="3" fillId="0" borderId="15" xfId="2" applyFont="1" applyFill="1" applyBorder="1" applyAlignment="1">
      <alignment horizontal="center" vertical="center"/>
    </xf>
    <xf numFmtId="38" fontId="3" fillId="0" borderId="16" xfId="2" applyFont="1" applyFill="1" applyBorder="1" applyAlignment="1">
      <alignment horizontal="center" vertical="center"/>
    </xf>
    <xf numFmtId="38" fontId="3" fillId="0" borderId="27" xfId="2" applyFont="1" applyFill="1" applyBorder="1" applyAlignment="1">
      <alignment horizontal="center" vertical="center"/>
    </xf>
    <xf numFmtId="38" fontId="3" fillId="0" borderId="10" xfId="2" applyFont="1" applyFill="1" applyBorder="1" applyAlignment="1">
      <alignment horizontal="center" vertical="center"/>
    </xf>
    <xf numFmtId="38" fontId="3" fillId="0" borderId="11" xfId="2" applyFont="1" applyFill="1" applyBorder="1" applyAlignment="1">
      <alignment horizontal="center" vertical="center"/>
    </xf>
    <xf numFmtId="176" fontId="1" fillId="0" borderId="27" xfId="1" applyNumberFormat="1" applyFont="1" applyFill="1" applyBorder="1" applyAlignment="1">
      <alignment horizontal="center" vertical="center"/>
    </xf>
    <xf numFmtId="176" fontId="1" fillId="0" borderId="10" xfId="1" applyNumberFormat="1" applyFont="1" applyFill="1" applyBorder="1" applyAlignment="1">
      <alignment horizontal="center" vertical="center"/>
    </xf>
    <xf numFmtId="176" fontId="1" fillId="0" borderId="11" xfId="1" applyNumberFormat="1" applyFont="1" applyFill="1" applyBorder="1" applyAlignment="1">
      <alignment horizontal="center" vertical="center"/>
    </xf>
    <xf numFmtId="40" fontId="12" fillId="3" borderId="19" xfId="2" applyNumberFormat="1" applyFont="1" applyFill="1" applyBorder="1" applyAlignment="1">
      <alignment horizontal="center" vertical="center"/>
    </xf>
    <xf numFmtId="40" fontId="12" fillId="3" borderId="13" xfId="2" applyNumberFormat="1" applyFont="1" applyFill="1" applyBorder="1" applyAlignment="1">
      <alignment horizontal="center" vertical="center"/>
    </xf>
    <xf numFmtId="40" fontId="12" fillId="3" borderId="14" xfId="2" applyNumberFormat="1" applyFont="1" applyFill="1" applyBorder="1" applyAlignment="1">
      <alignment horizontal="center" vertical="center"/>
    </xf>
    <xf numFmtId="38" fontId="20" fillId="0" borderId="3" xfId="2" applyFont="1" applyFill="1" applyBorder="1" applyAlignment="1">
      <alignment horizontal="right" vertical="center"/>
    </xf>
    <xf numFmtId="38" fontId="20" fillId="0" borderId="0" xfId="2" applyFont="1" applyFill="1" applyAlignment="1">
      <alignment horizontal="right" vertical="center"/>
    </xf>
    <xf numFmtId="38" fontId="20" fillId="0" borderId="0" xfId="2" applyFont="1" applyFill="1" applyBorder="1" applyAlignment="1">
      <alignment horizontal="right" vertical="center"/>
    </xf>
    <xf numFmtId="178" fontId="1" fillId="0" borderId="30" xfId="2" applyNumberFormat="1" applyFont="1" applyFill="1" applyBorder="1" applyAlignment="1">
      <alignment horizontal="center" vertical="center"/>
    </xf>
    <xf numFmtId="178" fontId="1" fillId="0" borderId="31" xfId="2" applyNumberFormat="1" applyFont="1" applyFill="1" applyBorder="1" applyAlignment="1">
      <alignment horizontal="center" vertical="center"/>
    </xf>
    <xf numFmtId="178" fontId="1" fillId="0" borderId="32" xfId="2" applyNumberFormat="1" applyFont="1" applyFill="1" applyBorder="1" applyAlignment="1">
      <alignment horizontal="center" vertical="center"/>
    </xf>
    <xf numFmtId="38" fontId="5" fillId="0" borderId="22" xfId="2" applyFont="1" applyFill="1" applyBorder="1" applyAlignment="1">
      <alignment horizontal="center" vertical="center" shrinkToFit="1"/>
    </xf>
    <xf numFmtId="38" fontId="5" fillId="0" borderId="23" xfId="2" applyFont="1" applyFill="1" applyBorder="1" applyAlignment="1">
      <alignment horizontal="center" vertical="center" shrinkToFit="1"/>
    </xf>
    <xf numFmtId="38" fontId="5" fillId="0" borderId="24" xfId="2" applyFont="1" applyFill="1" applyBorder="1" applyAlignment="1">
      <alignment horizontal="center" vertical="center" shrinkToFit="1"/>
    </xf>
    <xf numFmtId="38" fontId="5" fillId="0" borderId="3" xfId="2" applyFont="1" applyFill="1" applyBorder="1" applyAlignment="1">
      <alignment horizontal="center" vertical="center" shrinkToFit="1"/>
    </xf>
    <xf numFmtId="38" fontId="5" fillId="0" borderId="0" xfId="2" applyFont="1" applyFill="1" applyBorder="1" applyAlignment="1">
      <alignment horizontal="center" vertical="center" shrinkToFit="1"/>
    </xf>
    <xf numFmtId="38" fontId="5" fillId="0" borderId="5" xfId="2" applyFont="1" applyFill="1" applyBorder="1" applyAlignment="1">
      <alignment horizontal="center" vertical="center" shrinkToFit="1"/>
    </xf>
    <xf numFmtId="38" fontId="5" fillId="0" borderId="37" xfId="2" applyFont="1" applyFill="1" applyBorder="1" applyAlignment="1">
      <alignment horizontal="center" vertical="center" shrinkToFit="1"/>
    </xf>
    <xf numFmtId="38" fontId="5" fillId="0" borderId="38" xfId="2" applyFont="1" applyFill="1" applyBorder="1" applyAlignment="1">
      <alignment horizontal="center" vertical="center" shrinkToFit="1"/>
    </xf>
    <xf numFmtId="38" fontId="5" fillId="0" borderId="34" xfId="2" applyFont="1" applyFill="1" applyBorder="1" applyAlignment="1">
      <alignment horizontal="center" vertical="center" shrinkToFit="1"/>
    </xf>
    <xf numFmtId="38" fontId="5" fillId="0" borderId="36" xfId="2" applyFont="1" applyFill="1" applyBorder="1" applyAlignment="1">
      <alignment horizontal="center" vertical="center" shrinkToFit="1"/>
    </xf>
    <xf numFmtId="10" fontId="5" fillId="0" borderId="28" xfId="1" applyNumberFormat="1" applyFont="1" applyFill="1" applyBorder="1" applyAlignment="1">
      <alignment horizontal="center" vertical="center" shrinkToFit="1"/>
    </xf>
    <xf numFmtId="10" fontId="5" fillId="0" borderId="27" xfId="1" applyNumberFormat="1" applyFont="1" applyFill="1" applyBorder="1" applyAlignment="1">
      <alignment horizontal="center" vertical="center"/>
    </xf>
    <xf numFmtId="10" fontId="5" fillId="0" borderId="10" xfId="1" applyNumberFormat="1" applyFont="1" applyFill="1" applyBorder="1" applyAlignment="1">
      <alignment horizontal="center" vertical="center"/>
    </xf>
    <xf numFmtId="10" fontId="5" fillId="0" borderId="11" xfId="1" applyNumberFormat="1" applyFont="1" applyFill="1" applyBorder="1" applyAlignment="1">
      <alignment horizontal="center" vertical="center"/>
    </xf>
    <xf numFmtId="10" fontId="5" fillId="0" borderId="27" xfId="1" applyNumberFormat="1" applyFont="1" applyFill="1" applyBorder="1" applyAlignment="1">
      <alignment vertical="center"/>
    </xf>
    <xf numFmtId="10" fontId="5" fillId="0" borderId="10" xfId="1" applyNumberFormat="1" applyFont="1" applyFill="1" applyBorder="1" applyAlignment="1">
      <alignment vertical="center"/>
    </xf>
    <xf numFmtId="10" fontId="5" fillId="0" borderId="11" xfId="1" applyNumberFormat="1" applyFont="1" applyFill="1" applyBorder="1" applyAlignment="1">
      <alignment vertical="center"/>
    </xf>
    <xf numFmtId="38" fontId="5" fillId="0" borderId="39" xfId="2" applyFont="1" applyFill="1" applyBorder="1" applyAlignment="1">
      <alignment horizontal="center" vertical="center" shrinkToFit="1"/>
    </xf>
    <xf numFmtId="38" fontId="5" fillId="0" borderId="27" xfId="2" applyFont="1" applyFill="1" applyBorder="1" applyAlignment="1">
      <alignment horizontal="center" vertical="center"/>
    </xf>
    <xf numFmtId="38" fontId="5" fillId="0" borderId="10" xfId="2" applyFont="1" applyFill="1" applyBorder="1" applyAlignment="1">
      <alignment horizontal="center" vertical="center"/>
    </xf>
    <xf numFmtId="38" fontId="5" fillId="0" borderId="11" xfId="2" applyFont="1" applyFill="1" applyBorder="1" applyAlignment="1">
      <alignment horizontal="center" vertical="center"/>
    </xf>
    <xf numFmtId="10" fontId="5" fillId="0" borderId="27" xfId="1" applyNumberFormat="1" applyFont="1" applyFill="1" applyBorder="1" applyAlignment="1">
      <alignment horizontal="center" vertical="center" shrinkToFit="1"/>
    </xf>
    <xf numFmtId="10" fontId="5" fillId="0" borderId="11" xfId="1" applyNumberFormat="1" applyFont="1" applyFill="1" applyBorder="1" applyAlignment="1">
      <alignment horizontal="center" vertical="center" shrinkToFit="1"/>
    </xf>
    <xf numFmtId="38" fontId="5" fillId="0" borderId="22" xfId="2" applyFont="1" applyFill="1" applyBorder="1" applyAlignment="1">
      <alignment horizontal="center" vertical="center"/>
    </xf>
    <xf numFmtId="38" fontId="5" fillId="0" borderId="24" xfId="2" applyFont="1" applyFill="1" applyBorder="1" applyAlignment="1">
      <alignment horizontal="center" vertical="center"/>
    </xf>
    <xf numFmtId="38" fontId="5" fillId="0" borderId="37" xfId="2" applyFont="1" applyFill="1" applyBorder="1" applyAlignment="1">
      <alignment horizontal="center" vertical="center"/>
    </xf>
    <xf numFmtId="38" fontId="5" fillId="0" borderId="39" xfId="2" applyFont="1" applyFill="1" applyBorder="1" applyAlignment="1">
      <alignment horizontal="center" vertical="center"/>
    </xf>
    <xf numFmtId="38" fontId="5" fillId="0" borderId="22" xfId="2" applyFont="1" applyFill="1" applyBorder="1" applyAlignment="1">
      <alignment horizontal="center" vertical="center" wrapText="1"/>
    </xf>
    <xf numFmtId="38" fontId="5" fillId="0" borderId="23" xfId="2" applyFont="1" applyFill="1" applyBorder="1" applyAlignment="1">
      <alignment horizontal="center" vertical="center" wrapText="1"/>
    </xf>
    <xf numFmtId="38" fontId="5" fillId="0" borderId="24" xfId="2" applyFont="1" applyFill="1" applyBorder="1" applyAlignment="1">
      <alignment horizontal="center" vertical="center" wrapText="1"/>
    </xf>
    <xf numFmtId="38" fontId="5" fillId="0" borderId="3" xfId="2" applyFont="1" applyFill="1" applyBorder="1" applyAlignment="1">
      <alignment horizontal="center" vertical="center" wrapText="1"/>
    </xf>
    <xf numFmtId="38" fontId="5" fillId="0" borderId="0" xfId="2" applyFont="1" applyFill="1" applyBorder="1" applyAlignment="1">
      <alignment horizontal="center" vertical="center" wrapText="1"/>
    </xf>
    <xf numFmtId="38" fontId="5" fillId="0" borderId="5" xfId="2" applyFont="1" applyFill="1" applyBorder="1" applyAlignment="1">
      <alignment horizontal="center" vertical="center" wrapText="1"/>
    </xf>
    <xf numFmtId="180" fontId="1" fillId="0" borderId="0" xfId="2" applyNumberFormat="1" applyFont="1" applyFill="1" applyAlignment="1">
      <alignment horizontal="distributed" vertical="center"/>
    </xf>
    <xf numFmtId="38" fontId="1" fillId="0" borderId="0" xfId="2" applyFont="1" applyFill="1" applyAlignment="1">
      <alignment horizontal="left" vertical="center"/>
    </xf>
    <xf numFmtId="38" fontId="1" fillId="0" borderId="0" xfId="2" applyFont="1" applyFill="1" applyAlignment="1">
      <alignment horizontal="center" vertical="center"/>
    </xf>
    <xf numFmtId="38" fontId="15" fillId="0" borderId="3" xfId="2" applyFont="1" applyFill="1" applyBorder="1" applyAlignment="1">
      <alignment horizontal="right" vertical="center"/>
    </xf>
    <xf numFmtId="38" fontId="15" fillId="0" borderId="0" xfId="2" applyFont="1" applyFill="1" applyBorder="1" applyAlignment="1">
      <alignment horizontal="right" vertical="center"/>
    </xf>
    <xf numFmtId="38" fontId="1" fillId="0" borderId="0" xfId="2" applyFont="1" applyFill="1" applyAlignment="1">
      <alignment horizontal="center" vertical="center"/>
    </xf>
    <xf numFmtId="181" fontId="21" fillId="0" borderId="0" xfId="2" applyNumberFormat="1" applyFont="1" applyFill="1" applyAlignment="1">
      <alignment horizontal="right" vertical="center" shrinkToFit="1"/>
    </xf>
    <xf numFmtId="181" fontId="18" fillId="0" borderId="0" xfId="2" applyNumberFormat="1" applyFont="1" applyFill="1" applyAlignment="1">
      <alignment horizontal="right" vertical="center" shrinkToFit="1"/>
    </xf>
    <xf numFmtId="38" fontId="15" fillId="0" borderId="0" xfId="2" applyFont="1" applyFill="1" applyBorder="1" applyAlignment="1">
      <alignment horizontal="center" vertical="center"/>
    </xf>
    <xf numFmtId="38" fontId="6" fillId="0" borderId="0" xfId="2" applyFont="1" applyFill="1" applyAlignment="1">
      <alignment horizontal="right" vertical="center"/>
    </xf>
    <xf numFmtId="181" fontId="21" fillId="0" borderId="0" xfId="2" applyNumberFormat="1" applyFont="1" applyFill="1" applyAlignment="1">
      <alignment horizontal="right" vertical="center" shrinkToFit="1"/>
    </xf>
    <xf numFmtId="180" fontId="17" fillId="0" borderId="0" xfId="2" quotePrefix="1" applyNumberFormat="1" applyFont="1" applyFill="1" applyAlignment="1">
      <alignment horizontal="center" vertical="top" wrapText="1"/>
    </xf>
    <xf numFmtId="178" fontId="1" fillId="0" borderId="30" xfId="2" applyNumberFormat="1" applyFont="1" applyFill="1" applyBorder="1" applyAlignment="1">
      <alignment horizontal="right" vertical="center"/>
    </xf>
    <xf numFmtId="178" fontId="1" fillId="0" borderId="31" xfId="2" applyNumberFormat="1" applyFont="1" applyFill="1" applyBorder="1" applyAlignment="1">
      <alignment horizontal="right" vertical="center"/>
    </xf>
    <xf numFmtId="178" fontId="1" fillId="0" borderId="32" xfId="2" applyNumberFormat="1" applyFont="1" applyFill="1" applyBorder="1" applyAlignment="1">
      <alignment horizontal="right"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T113"/>
  <sheetViews>
    <sheetView view="pageBreakPreview" zoomScaleNormal="100" zoomScaleSheetLayoutView="100" workbookViewId="0">
      <selection activeCell="AA5" sqref="AA5:AG5"/>
    </sheetView>
  </sheetViews>
  <sheetFormatPr defaultColWidth="2.625" defaultRowHeight="15.6" customHeight="1" x14ac:dyDescent="0.15"/>
  <cols>
    <col min="1" max="1" width="2.625" style="69"/>
    <col min="2" max="29" width="2.625" style="4"/>
    <col min="30" max="30" width="2.625" style="4" customWidth="1"/>
    <col min="31" max="33" width="2.625" style="4"/>
    <col min="34" max="35" width="2.625" style="7"/>
    <col min="36" max="36" width="8.5" style="7" bestFit="1" customWidth="1"/>
    <col min="37" max="37" width="3.5" style="7" bestFit="1" customWidth="1"/>
    <col min="38" max="42" width="2.625" style="7"/>
    <col min="43" max="43" width="3.5" style="7" bestFit="1" customWidth="1"/>
    <col min="44" max="50" width="2.625" style="7"/>
    <col min="51" max="52" width="2.625" style="80"/>
    <col min="53" max="53" width="2.625" style="7"/>
    <col min="54" max="16384" width="2.625" style="4"/>
  </cols>
  <sheetData>
    <row r="1" spans="1:53" ht="15.6" customHeight="1" x14ac:dyDescent="0.15">
      <c r="A1" s="562" t="s">
        <v>6</v>
      </c>
      <c r="B1" s="562"/>
      <c r="C1" s="562"/>
      <c r="D1" s="562"/>
      <c r="E1" s="562"/>
      <c r="F1" s="562"/>
      <c r="G1" s="562"/>
      <c r="H1" s="562"/>
      <c r="I1" s="562"/>
      <c r="J1" s="562"/>
      <c r="K1" s="562"/>
      <c r="L1" s="562"/>
      <c r="M1" s="562"/>
      <c r="N1" s="562"/>
      <c r="O1" s="562"/>
      <c r="P1" s="562"/>
      <c r="Q1" s="562"/>
      <c r="R1" s="562"/>
      <c r="S1" s="562"/>
      <c r="T1" s="562"/>
      <c r="U1" s="562"/>
      <c r="V1" s="562"/>
      <c r="W1" s="562"/>
      <c r="X1" s="562"/>
      <c r="Y1" s="562"/>
      <c r="Z1" s="562"/>
      <c r="AA1" s="562"/>
      <c r="AB1" s="562"/>
      <c r="AC1" s="562"/>
      <c r="AD1" s="562"/>
      <c r="AE1" s="562"/>
      <c r="AF1" s="562"/>
      <c r="AG1" s="562"/>
      <c r="AH1" s="20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</row>
    <row r="2" spans="1:53" ht="15.6" customHeight="1" x14ac:dyDescent="0.15">
      <c r="A2" s="562"/>
      <c r="B2" s="562"/>
      <c r="C2" s="562"/>
      <c r="D2" s="562"/>
      <c r="E2" s="562"/>
      <c r="F2" s="562"/>
      <c r="G2" s="562"/>
      <c r="H2" s="562"/>
      <c r="I2" s="562"/>
      <c r="J2" s="562"/>
      <c r="K2" s="562"/>
      <c r="L2" s="562"/>
      <c r="M2" s="562"/>
      <c r="N2" s="562"/>
      <c r="O2" s="562"/>
      <c r="P2" s="562"/>
      <c r="Q2" s="562"/>
      <c r="R2" s="562"/>
      <c r="S2" s="562"/>
      <c r="T2" s="562"/>
      <c r="U2" s="562"/>
      <c r="V2" s="562"/>
      <c r="W2" s="562"/>
      <c r="X2" s="562"/>
      <c r="Y2" s="562"/>
      <c r="Z2" s="562"/>
      <c r="AA2" s="562"/>
      <c r="AB2" s="562"/>
      <c r="AC2" s="562"/>
      <c r="AD2" s="562"/>
      <c r="AE2" s="562"/>
      <c r="AF2" s="562"/>
      <c r="AG2" s="562"/>
      <c r="AH2" s="20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</row>
    <row r="3" spans="1:53" s="3" customFormat="1" ht="15.6" customHeight="1" x14ac:dyDescent="0.15">
      <c r="A3" s="49"/>
      <c r="B3" s="41"/>
      <c r="C3" s="42"/>
      <c r="D3" s="42"/>
      <c r="E3" s="42"/>
      <c r="F3" s="42"/>
      <c r="G3" s="42"/>
      <c r="H3" s="42"/>
      <c r="I3" s="42"/>
      <c r="J3" s="42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33"/>
      <c r="W3" s="33"/>
      <c r="X3" s="33"/>
      <c r="Y3" s="33"/>
      <c r="Z3" s="33"/>
      <c r="AA3" s="563" t="s">
        <v>107</v>
      </c>
      <c r="AB3" s="563"/>
      <c r="AC3" s="563"/>
      <c r="AD3" s="563"/>
      <c r="AE3" s="563"/>
      <c r="AF3" s="563"/>
      <c r="AG3" s="563"/>
      <c r="AH3" s="21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4"/>
      <c r="AW3" s="14"/>
      <c r="AX3" s="14"/>
      <c r="AY3" s="80"/>
      <c r="AZ3" s="80"/>
      <c r="BA3" s="14"/>
    </row>
    <row r="4" spans="1:53" s="3" customFormat="1" ht="15.6" customHeight="1" x14ac:dyDescent="0.15">
      <c r="A4" s="49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33"/>
      <c r="W4" s="33"/>
      <c r="X4" s="33"/>
      <c r="Y4" s="33"/>
      <c r="Z4" s="33"/>
      <c r="AA4" s="563"/>
      <c r="AB4" s="563"/>
      <c r="AC4" s="563"/>
      <c r="AD4" s="563"/>
      <c r="AE4" s="563"/>
      <c r="AF4" s="563"/>
      <c r="AG4" s="563"/>
      <c r="AH4" s="21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4"/>
      <c r="AW4" s="14"/>
      <c r="AX4" s="14"/>
      <c r="AY4" s="80"/>
      <c r="AZ4" s="80"/>
      <c r="BA4" s="14"/>
    </row>
    <row r="5" spans="1:53" s="3" customFormat="1" ht="15.6" customHeight="1" x14ac:dyDescent="0.15">
      <c r="A5" s="49" t="s">
        <v>66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16"/>
      <c r="Q5" s="16"/>
      <c r="R5" s="16"/>
      <c r="S5" s="16"/>
      <c r="T5" s="16"/>
      <c r="U5" s="16"/>
      <c r="V5" s="21"/>
      <c r="W5" s="21"/>
      <c r="X5" s="21"/>
      <c r="Y5" s="21"/>
      <c r="Z5" s="21"/>
      <c r="AA5" s="891" t="s">
        <v>228</v>
      </c>
      <c r="AB5" s="564"/>
      <c r="AC5" s="564"/>
      <c r="AD5" s="564"/>
      <c r="AE5" s="564"/>
      <c r="AF5" s="564"/>
      <c r="AG5" s="564"/>
      <c r="AH5" s="21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4"/>
      <c r="AW5" s="14"/>
      <c r="AX5" s="14"/>
      <c r="AY5" s="80"/>
      <c r="AZ5" s="80"/>
      <c r="BA5" s="14"/>
    </row>
    <row r="6" spans="1:53" s="3" customFormat="1" ht="15.6" customHeight="1" x14ac:dyDescent="0.15">
      <c r="A6" s="49" t="s">
        <v>7</v>
      </c>
      <c r="B6" s="565" t="s">
        <v>108</v>
      </c>
      <c r="C6" s="565"/>
      <c r="D6" s="565"/>
      <c r="E6" s="437" t="s">
        <v>109</v>
      </c>
      <c r="F6" s="566">
        <v>45017</v>
      </c>
      <c r="G6" s="566"/>
      <c r="H6" s="566"/>
      <c r="I6" s="566"/>
      <c r="J6" s="566"/>
      <c r="K6" s="566"/>
      <c r="L6" s="566"/>
      <c r="M6" s="567" t="s">
        <v>111</v>
      </c>
      <c r="N6" s="567"/>
      <c r="O6" s="567"/>
      <c r="P6" s="16"/>
      <c r="Q6" s="16"/>
      <c r="R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4"/>
      <c r="AX6" s="14"/>
      <c r="AY6" s="80"/>
      <c r="AZ6" s="80"/>
      <c r="BA6" s="14"/>
    </row>
    <row r="7" spans="1:53" s="3" customFormat="1" ht="15.6" customHeight="1" x14ac:dyDescent="0.15">
      <c r="A7" s="49"/>
      <c r="B7" s="49"/>
      <c r="C7" s="49" t="s">
        <v>65</v>
      </c>
      <c r="D7" s="438"/>
      <c r="E7" s="49"/>
      <c r="F7" s="55"/>
      <c r="G7" s="55"/>
      <c r="H7" s="55"/>
      <c r="I7" s="546">
        <v>223815</v>
      </c>
      <c r="J7" s="546"/>
      <c r="K7" s="546"/>
      <c r="L7" s="546"/>
      <c r="M7" s="546"/>
      <c r="N7" s="55" t="s">
        <v>8</v>
      </c>
      <c r="O7" s="55"/>
      <c r="P7" s="537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4"/>
      <c r="AW7" s="14"/>
      <c r="AX7" s="14"/>
      <c r="AY7" s="80"/>
      <c r="AZ7" s="80"/>
      <c r="BA7" s="14"/>
    </row>
    <row r="8" spans="1:53" s="3" customFormat="1" ht="15.6" customHeight="1" x14ac:dyDescent="0.15">
      <c r="A8" s="49"/>
      <c r="B8" s="49"/>
      <c r="C8" s="49" t="s">
        <v>9</v>
      </c>
      <c r="D8" s="49"/>
      <c r="E8" s="49"/>
      <c r="F8" s="55"/>
      <c r="G8" s="55"/>
      <c r="H8" s="55"/>
      <c r="I8" s="547">
        <v>104076</v>
      </c>
      <c r="J8" s="546"/>
      <c r="K8" s="546"/>
      <c r="L8" s="546"/>
      <c r="M8" s="546"/>
      <c r="N8" s="55" t="s">
        <v>10</v>
      </c>
      <c r="O8" s="55"/>
      <c r="P8" s="16" t="s">
        <v>11</v>
      </c>
      <c r="Q8" s="16"/>
      <c r="R8" s="16"/>
      <c r="S8" s="16"/>
      <c r="T8" s="16"/>
      <c r="U8" s="16"/>
      <c r="V8" s="548">
        <f>I7/I8</f>
        <v>2.1504957915369536</v>
      </c>
      <c r="W8" s="548"/>
      <c r="X8" s="548"/>
      <c r="Y8" s="16" t="s">
        <v>12</v>
      </c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4"/>
      <c r="AW8" s="14"/>
      <c r="AX8" s="14"/>
      <c r="AY8" s="80"/>
      <c r="AZ8" s="80"/>
      <c r="BA8" s="14"/>
    </row>
    <row r="9" spans="1:53" s="3" customFormat="1" ht="15.6" customHeight="1" x14ac:dyDescent="0.15">
      <c r="A9" s="49"/>
      <c r="B9" s="16"/>
      <c r="C9" s="16"/>
      <c r="D9" s="16"/>
      <c r="E9" s="16"/>
      <c r="F9" s="16"/>
      <c r="G9" s="16"/>
      <c r="H9" s="16"/>
      <c r="I9" s="521"/>
      <c r="J9" s="520"/>
      <c r="K9" s="520"/>
      <c r="L9" s="520"/>
      <c r="M9" s="520"/>
      <c r="N9" s="16"/>
      <c r="O9" s="16"/>
      <c r="P9" s="16"/>
      <c r="Q9" s="16"/>
      <c r="R9" s="16"/>
      <c r="S9" s="16"/>
      <c r="T9" s="16"/>
      <c r="U9" s="16"/>
      <c r="V9" s="522"/>
      <c r="W9" s="522"/>
      <c r="X9" s="522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4"/>
      <c r="AW9" s="14"/>
      <c r="AX9" s="14"/>
      <c r="AY9" s="80"/>
      <c r="AZ9" s="80"/>
      <c r="BA9" s="14"/>
    </row>
    <row r="10" spans="1:53" s="3" customFormat="1" ht="15.6" customHeight="1" x14ac:dyDescent="0.15">
      <c r="A10" s="49" t="s">
        <v>5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4"/>
      <c r="AW10" s="14"/>
      <c r="AX10" s="14"/>
      <c r="AY10" s="80"/>
      <c r="AZ10" s="80"/>
      <c r="BA10" s="14"/>
    </row>
    <row r="11" spans="1:53" s="3" customFormat="1" ht="15.6" customHeight="1" x14ac:dyDescent="0.15">
      <c r="A11" s="49"/>
      <c r="B11" s="549" t="s">
        <v>67</v>
      </c>
      <c r="C11" s="550"/>
      <c r="D11" s="550"/>
      <c r="E11" s="550"/>
      <c r="F11" s="550"/>
      <c r="G11" s="550"/>
      <c r="H11" s="551"/>
      <c r="I11" s="555" t="s">
        <v>130</v>
      </c>
      <c r="J11" s="556"/>
      <c r="K11" s="556"/>
      <c r="L11" s="556"/>
      <c r="M11" s="557"/>
      <c r="N11" s="555" t="s">
        <v>131</v>
      </c>
      <c r="O11" s="556"/>
      <c r="P11" s="556"/>
      <c r="Q11" s="556"/>
      <c r="R11" s="557"/>
      <c r="S11" s="561" t="s">
        <v>13</v>
      </c>
      <c r="T11" s="556"/>
      <c r="U11" s="556"/>
      <c r="V11" s="556"/>
      <c r="W11" s="557"/>
      <c r="X11" s="29"/>
      <c r="Y11" s="581" t="s">
        <v>68</v>
      </c>
      <c r="Z11" s="581"/>
      <c r="AA11" s="581"/>
      <c r="AB11" s="30"/>
      <c r="AC11" s="561" t="s">
        <v>81</v>
      </c>
      <c r="AD11" s="556"/>
      <c r="AE11" s="556"/>
      <c r="AF11" s="556"/>
      <c r="AG11" s="557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4"/>
      <c r="AW11" s="14"/>
      <c r="AX11" s="14"/>
      <c r="AY11" s="80"/>
      <c r="AZ11" s="80"/>
      <c r="BA11" s="14"/>
    </row>
    <row r="12" spans="1:53" s="3" customFormat="1" ht="15.6" customHeight="1" x14ac:dyDescent="0.15">
      <c r="A12" s="49"/>
      <c r="B12" s="552"/>
      <c r="C12" s="553"/>
      <c r="D12" s="553"/>
      <c r="E12" s="553"/>
      <c r="F12" s="553"/>
      <c r="G12" s="553"/>
      <c r="H12" s="554"/>
      <c r="I12" s="558"/>
      <c r="J12" s="559"/>
      <c r="K12" s="559"/>
      <c r="L12" s="559"/>
      <c r="M12" s="560"/>
      <c r="N12" s="558"/>
      <c r="O12" s="559"/>
      <c r="P12" s="559"/>
      <c r="Q12" s="559"/>
      <c r="R12" s="560"/>
      <c r="S12" s="558"/>
      <c r="T12" s="559"/>
      <c r="U12" s="559"/>
      <c r="V12" s="559"/>
      <c r="W12" s="560"/>
      <c r="X12" s="31"/>
      <c r="Y12" s="581" t="s">
        <v>69</v>
      </c>
      <c r="Z12" s="581"/>
      <c r="AA12" s="581"/>
      <c r="AB12" s="32"/>
      <c r="AC12" s="558"/>
      <c r="AD12" s="559"/>
      <c r="AE12" s="559"/>
      <c r="AF12" s="559"/>
      <c r="AG12" s="560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4"/>
      <c r="AW12" s="14"/>
      <c r="AX12" s="14"/>
      <c r="AY12" s="80"/>
      <c r="AZ12" s="80"/>
      <c r="BA12" s="14"/>
    </row>
    <row r="13" spans="1:53" s="3" customFormat="1" ht="15.6" customHeight="1" x14ac:dyDescent="0.15">
      <c r="A13" s="49"/>
      <c r="B13" s="532" t="s">
        <v>126</v>
      </c>
      <c r="C13" s="533"/>
      <c r="D13" s="533"/>
      <c r="E13" s="533"/>
      <c r="F13" s="533"/>
      <c r="G13" s="533"/>
      <c r="H13" s="534"/>
      <c r="I13" s="570">
        <v>2329</v>
      </c>
      <c r="J13" s="571"/>
      <c r="K13" s="571"/>
      <c r="L13" s="571"/>
      <c r="M13" s="572"/>
      <c r="N13" s="570">
        <v>3076</v>
      </c>
      <c r="O13" s="571"/>
      <c r="P13" s="571"/>
      <c r="Q13" s="571"/>
      <c r="R13" s="572"/>
      <c r="S13" s="570">
        <v>28</v>
      </c>
      <c r="T13" s="571"/>
      <c r="U13" s="571"/>
      <c r="V13" s="571"/>
      <c r="W13" s="572"/>
      <c r="X13" s="582">
        <f t="shared" ref="X13:X16" si="0">I13/S13</f>
        <v>83.178571428571431</v>
      </c>
      <c r="Y13" s="583"/>
      <c r="Z13" s="583"/>
      <c r="AA13" s="583"/>
      <c r="AB13" s="34"/>
      <c r="AC13" s="584">
        <v>13.65933373002833</v>
      </c>
      <c r="AD13" s="585"/>
      <c r="AE13" s="585"/>
      <c r="AF13" s="585"/>
      <c r="AG13" s="586"/>
      <c r="AH13" s="568"/>
      <c r="AI13" s="569"/>
      <c r="AJ13" s="569"/>
      <c r="AK13" s="569"/>
      <c r="AL13" s="16"/>
      <c r="AM13" s="18"/>
      <c r="AN13" s="16"/>
      <c r="AO13" s="16"/>
      <c r="AP13" s="16"/>
      <c r="AQ13" s="16"/>
      <c r="AR13" s="16"/>
      <c r="AS13" s="16"/>
      <c r="AT13" s="16"/>
      <c r="AU13" s="16"/>
      <c r="AV13" s="14"/>
      <c r="AW13" s="14"/>
      <c r="AX13" s="14"/>
      <c r="AY13" s="80"/>
      <c r="AZ13" s="80"/>
      <c r="BA13" s="14"/>
    </row>
    <row r="14" spans="1:53" s="3" customFormat="1" ht="15.6" customHeight="1" x14ac:dyDescent="0.15">
      <c r="A14" s="49"/>
      <c r="B14" s="532" t="s">
        <v>129</v>
      </c>
      <c r="C14" s="533"/>
      <c r="D14" s="533"/>
      <c r="E14" s="533"/>
      <c r="F14" s="533"/>
      <c r="G14" s="533"/>
      <c r="H14" s="534"/>
      <c r="I14" s="570">
        <v>2409</v>
      </c>
      <c r="J14" s="571"/>
      <c r="K14" s="571"/>
      <c r="L14" s="571"/>
      <c r="M14" s="572"/>
      <c r="N14" s="570">
        <v>3167</v>
      </c>
      <c r="O14" s="571"/>
      <c r="P14" s="571"/>
      <c r="Q14" s="571"/>
      <c r="R14" s="572"/>
      <c r="S14" s="573">
        <v>28</v>
      </c>
      <c r="T14" s="574"/>
      <c r="U14" s="574"/>
      <c r="V14" s="574"/>
      <c r="W14" s="575"/>
      <c r="X14" s="576">
        <f>I14/S14</f>
        <v>86.035714285714292</v>
      </c>
      <c r="Y14" s="577"/>
      <c r="Z14" s="577"/>
      <c r="AA14" s="577"/>
      <c r="AB14" s="23"/>
      <c r="AC14" s="578">
        <v>14.09717121808996</v>
      </c>
      <c r="AD14" s="579"/>
      <c r="AE14" s="579"/>
      <c r="AF14" s="579"/>
      <c r="AG14" s="580"/>
      <c r="AH14" s="568"/>
      <c r="AI14" s="569"/>
      <c r="AJ14" s="569"/>
      <c r="AK14" s="569"/>
      <c r="AL14" s="16"/>
      <c r="AM14" s="18"/>
      <c r="AN14" s="16"/>
      <c r="AO14" s="16"/>
      <c r="AP14" s="16"/>
      <c r="AQ14" s="16"/>
      <c r="AR14" s="16"/>
      <c r="AS14" s="16"/>
      <c r="AT14" s="16"/>
      <c r="AU14" s="16"/>
      <c r="AV14" s="14"/>
      <c r="AW14" s="14"/>
      <c r="AX14" s="14"/>
      <c r="AY14" s="80"/>
      <c r="AZ14" s="80"/>
      <c r="BA14" s="14"/>
    </row>
    <row r="15" spans="1:53" s="3" customFormat="1" ht="15.6" customHeight="1" x14ac:dyDescent="0.15">
      <c r="A15" s="49"/>
      <c r="B15" s="589" t="s">
        <v>144</v>
      </c>
      <c r="C15" s="589"/>
      <c r="D15" s="589"/>
      <c r="E15" s="589"/>
      <c r="F15" s="589"/>
      <c r="G15" s="589"/>
      <c r="H15" s="589"/>
      <c r="I15" s="570">
        <v>2478</v>
      </c>
      <c r="J15" s="571"/>
      <c r="K15" s="571"/>
      <c r="L15" s="571"/>
      <c r="M15" s="572"/>
      <c r="N15" s="570">
        <v>3222</v>
      </c>
      <c r="O15" s="571"/>
      <c r="P15" s="571"/>
      <c r="Q15" s="571"/>
      <c r="R15" s="572"/>
      <c r="S15" s="570">
        <v>29</v>
      </c>
      <c r="T15" s="571"/>
      <c r="U15" s="571"/>
      <c r="V15" s="571"/>
      <c r="W15" s="572"/>
      <c r="X15" s="576">
        <f t="shared" si="0"/>
        <v>85.448275862068968</v>
      </c>
      <c r="Y15" s="577"/>
      <c r="Z15" s="577"/>
      <c r="AA15" s="577"/>
      <c r="AB15" s="23"/>
      <c r="AC15" s="578">
        <v>14.375008365344719</v>
      </c>
      <c r="AD15" s="579"/>
      <c r="AE15" s="579"/>
      <c r="AF15" s="579"/>
      <c r="AG15" s="580"/>
      <c r="AH15" s="587"/>
      <c r="AI15" s="588"/>
      <c r="AJ15" s="588"/>
      <c r="AK15" s="588"/>
      <c r="AL15" s="14"/>
      <c r="AM15" s="18"/>
      <c r="AN15" s="14"/>
      <c r="AO15" s="16"/>
      <c r="AP15" s="16"/>
      <c r="AQ15" s="16"/>
      <c r="AR15" s="16"/>
      <c r="AS15" s="16"/>
      <c r="AT15" s="16"/>
      <c r="AU15" s="16"/>
      <c r="AV15" s="14"/>
      <c r="AW15" s="14"/>
      <c r="AX15" s="14"/>
      <c r="AY15" s="80"/>
      <c r="AZ15" s="80"/>
      <c r="BA15" s="14"/>
    </row>
    <row r="16" spans="1:53" s="3" customFormat="1" ht="15.6" customHeight="1" x14ac:dyDescent="0.15">
      <c r="A16" s="49"/>
      <c r="B16" s="589" t="s">
        <v>148</v>
      </c>
      <c r="C16" s="589"/>
      <c r="D16" s="589"/>
      <c r="E16" s="589"/>
      <c r="F16" s="589"/>
      <c r="G16" s="589"/>
      <c r="H16" s="589"/>
      <c r="I16" s="570">
        <v>2523</v>
      </c>
      <c r="J16" s="571"/>
      <c r="K16" s="571"/>
      <c r="L16" s="571"/>
      <c r="M16" s="572"/>
      <c r="N16" s="570">
        <v>3258</v>
      </c>
      <c r="O16" s="571"/>
      <c r="P16" s="571"/>
      <c r="Q16" s="571"/>
      <c r="R16" s="572"/>
      <c r="S16" s="570">
        <v>30</v>
      </c>
      <c r="T16" s="571"/>
      <c r="U16" s="571"/>
      <c r="V16" s="571"/>
      <c r="W16" s="572"/>
      <c r="X16" s="576">
        <f t="shared" si="0"/>
        <v>84.1</v>
      </c>
      <c r="Y16" s="577"/>
      <c r="Z16" s="577"/>
      <c r="AA16" s="577"/>
      <c r="AB16" s="23"/>
      <c r="AC16" s="578">
        <v>14.560112977181111</v>
      </c>
      <c r="AD16" s="579"/>
      <c r="AE16" s="579"/>
      <c r="AF16" s="579"/>
      <c r="AG16" s="580"/>
      <c r="AH16" s="587"/>
      <c r="AI16" s="588"/>
      <c r="AJ16" s="588"/>
      <c r="AK16" s="588"/>
      <c r="AL16" s="14"/>
      <c r="AM16" s="18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80"/>
      <c r="AZ16" s="80"/>
      <c r="BA16" s="14"/>
    </row>
    <row r="17" spans="1:53" s="3" customFormat="1" ht="15.6" customHeight="1" x14ac:dyDescent="0.15">
      <c r="A17" s="49"/>
      <c r="B17" s="604" t="s">
        <v>169</v>
      </c>
      <c r="C17" s="604"/>
      <c r="D17" s="604"/>
      <c r="E17" s="604"/>
      <c r="F17" s="604"/>
      <c r="G17" s="604"/>
      <c r="H17" s="604"/>
      <c r="I17" s="605">
        <v>2564</v>
      </c>
      <c r="J17" s="606"/>
      <c r="K17" s="606"/>
      <c r="L17" s="606"/>
      <c r="M17" s="607"/>
      <c r="N17" s="605">
        <v>3302</v>
      </c>
      <c r="O17" s="606"/>
      <c r="P17" s="606"/>
      <c r="Q17" s="606"/>
      <c r="R17" s="607"/>
      <c r="S17" s="570">
        <v>31</v>
      </c>
      <c r="T17" s="571"/>
      <c r="U17" s="571"/>
      <c r="V17" s="571"/>
      <c r="W17" s="572"/>
      <c r="X17" s="576">
        <f>I17/S17</f>
        <v>82.709677419354833</v>
      </c>
      <c r="Y17" s="577"/>
      <c r="Z17" s="577"/>
      <c r="AA17" s="577"/>
      <c r="AB17" s="23"/>
      <c r="AC17" s="578">
        <v>14.773652608878509</v>
      </c>
      <c r="AD17" s="579"/>
      <c r="AE17" s="579"/>
      <c r="AF17" s="579"/>
      <c r="AG17" s="580"/>
      <c r="AH17" s="587"/>
      <c r="AI17" s="588"/>
      <c r="AJ17" s="588"/>
      <c r="AK17" s="588"/>
      <c r="AL17" s="14"/>
      <c r="AM17" s="14"/>
      <c r="AN17" s="14"/>
      <c r="AO17" s="14"/>
      <c r="AP17" s="14"/>
      <c r="AQ17" s="14"/>
      <c r="AR17" s="14"/>
      <c r="AS17" s="14"/>
      <c r="AT17" s="14"/>
      <c r="AU17" s="39"/>
      <c r="AV17" s="40"/>
      <c r="AW17" s="14"/>
      <c r="AX17" s="882"/>
      <c r="AY17" s="882"/>
      <c r="AZ17" s="80"/>
      <c r="BA17" s="14"/>
    </row>
    <row r="18" spans="1:53" s="3" customFormat="1" ht="15.6" customHeight="1" x14ac:dyDescent="0.15">
      <c r="A18" s="49"/>
      <c r="B18" s="597" t="s">
        <v>224</v>
      </c>
      <c r="C18" s="597"/>
      <c r="D18" s="597"/>
      <c r="E18" s="597"/>
      <c r="F18" s="597"/>
      <c r="G18" s="597"/>
      <c r="H18" s="597"/>
      <c r="I18" s="598">
        <f>2571+4</f>
        <v>2575</v>
      </c>
      <c r="J18" s="599"/>
      <c r="K18" s="599"/>
      <c r="L18" s="599"/>
      <c r="M18" s="600"/>
      <c r="N18" s="598">
        <f>3263+4</f>
        <v>3267</v>
      </c>
      <c r="O18" s="599"/>
      <c r="P18" s="599"/>
      <c r="Q18" s="599"/>
      <c r="R18" s="600"/>
      <c r="S18" s="570">
        <v>31</v>
      </c>
      <c r="T18" s="571"/>
      <c r="U18" s="571"/>
      <c r="V18" s="571"/>
      <c r="W18" s="572"/>
      <c r="X18" s="576">
        <f>I18/S18</f>
        <v>83.064516129032256</v>
      </c>
      <c r="Y18" s="577"/>
      <c r="Z18" s="577"/>
      <c r="AA18" s="577"/>
      <c r="AB18" s="23"/>
      <c r="AC18" s="601">
        <v>14.596876884927283</v>
      </c>
      <c r="AD18" s="602"/>
      <c r="AE18" s="602"/>
      <c r="AF18" s="602"/>
      <c r="AG18" s="603"/>
      <c r="AH18" s="883"/>
      <c r="AI18" s="884"/>
      <c r="AJ18" s="884"/>
      <c r="AK18" s="884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14"/>
      <c r="AX18" s="885"/>
      <c r="AY18" s="885"/>
      <c r="AZ18" s="80"/>
      <c r="BA18" s="14"/>
    </row>
    <row r="19" spans="1:53" s="1" customFormat="1" ht="15.6" customHeight="1" x14ac:dyDescent="0.15">
      <c r="A19" s="49"/>
      <c r="B19" s="537"/>
      <c r="C19" s="16"/>
      <c r="D19" s="590" t="s">
        <v>79</v>
      </c>
      <c r="E19" s="590"/>
      <c r="F19" s="590"/>
      <c r="G19" s="590"/>
      <c r="H19" s="590"/>
      <c r="I19" s="591">
        <v>94</v>
      </c>
      <c r="J19" s="592"/>
      <c r="K19" s="592"/>
      <c r="L19" s="592"/>
      <c r="M19" s="593"/>
      <c r="N19" s="594">
        <v>184</v>
      </c>
      <c r="O19" s="594"/>
      <c r="P19" s="594"/>
      <c r="Q19" s="594"/>
      <c r="R19" s="594"/>
      <c r="S19" s="537"/>
      <c r="T19" s="18"/>
      <c r="U19" s="16"/>
      <c r="V19" s="16"/>
      <c r="W19" s="16"/>
      <c r="X19" s="16"/>
      <c r="Y19" s="16"/>
      <c r="Z19" s="16"/>
      <c r="AA19" s="16"/>
      <c r="AB19" s="519"/>
      <c r="AC19" s="519"/>
      <c r="AD19" s="519"/>
      <c r="AE19" s="519"/>
      <c r="AF19" s="16"/>
      <c r="AG19" s="16"/>
      <c r="AH19" s="16"/>
      <c r="AI19" s="71"/>
      <c r="AJ19" s="16"/>
      <c r="AK19" s="16"/>
      <c r="AL19" s="16"/>
      <c r="AM19" s="16"/>
      <c r="AN19" s="16"/>
      <c r="AO19" s="16"/>
      <c r="AP19" s="13"/>
      <c r="AQ19" s="13"/>
      <c r="AR19" s="13"/>
      <c r="AS19" s="13"/>
      <c r="AT19" s="13"/>
      <c r="AU19" s="13"/>
      <c r="AV19" s="13"/>
      <c r="AW19" s="13"/>
      <c r="AX19" s="13"/>
      <c r="AY19" s="886"/>
      <c r="AZ19" s="886"/>
      <c r="BA19" s="13"/>
    </row>
    <row r="20" spans="1:53" s="1" customFormat="1" ht="15.6" customHeight="1" x14ac:dyDescent="0.15">
      <c r="A20" s="49"/>
      <c r="B20" s="537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545"/>
      <c r="AI20" s="545"/>
      <c r="AJ20" s="545"/>
      <c r="AK20" s="545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3"/>
      <c r="AW20" s="13"/>
      <c r="AX20" s="13"/>
      <c r="AY20" s="886"/>
      <c r="AZ20" s="886"/>
      <c r="BA20" s="13"/>
    </row>
    <row r="21" spans="1:53" s="14" customFormat="1" ht="15.6" customHeight="1" x14ac:dyDescent="0.15">
      <c r="A21" s="50" t="s">
        <v>124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24"/>
      <c r="X21" s="24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Y21" s="80"/>
      <c r="AZ21" s="80"/>
    </row>
    <row r="22" spans="1:53" s="14" customFormat="1" ht="15.6" customHeight="1" x14ac:dyDescent="0.15">
      <c r="A22" s="523" t="s">
        <v>171</v>
      </c>
      <c r="B22" s="25"/>
      <c r="C22" s="25"/>
      <c r="D22" s="526"/>
      <c r="E22" s="526"/>
      <c r="F22" s="526"/>
      <c r="G22" s="526"/>
      <c r="H22" s="22"/>
      <c r="I22" s="526"/>
      <c r="J22" s="526"/>
      <c r="K22" s="526"/>
      <c r="L22" s="1" t="s">
        <v>73</v>
      </c>
      <c r="M22" s="22"/>
      <c r="N22" s="526"/>
      <c r="O22" s="526"/>
      <c r="P22" s="526"/>
      <c r="Q22" s="526"/>
      <c r="R22" s="22"/>
      <c r="S22" s="542"/>
      <c r="T22" s="526"/>
      <c r="U22" s="526"/>
      <c r="V22" s="543"/>
      <c r="W22" s="543"/>
      <c r="X22" s="26"/>
      <c r="Y22" s="542"/>
      <c r="Z22" s="542"/>
      <c r="AA22" s="542"/>
      <c r="AB22" s="543"/>
      <c r="AC22" s="526"/>
      <c r="AD22" s="526"/>
      <c r="AE22" s="526"/>
      <c r="AF22" s="526"/>
      <c r="AG22" s="526"/>
      <c r="AH22" s="24"/>
      <c r="AI22" s="24"/>
      <c r="AJ22" s="24"/>
      <c r="AK22" s="24"/>
      <c r="AL22" s="24"/>
      <c r="AM22" s="24"/>
      <c r="AY22" s="80"/>
      <c r="AZ22" s="80"/>
    </row>
    <row r="23" spans="1:53" s="14" customFormat="1" ht="15.6" customHeight="1" x14ac:dyDescent="0.15">
      <c r="A23" s="52"/>
      <c r="B23" s="595" t="s">
        <v>14</v>
      </c>
      <c r="C23" s="595"/>
      <c r="D23" s="595" t="s">
        <v>15</v>
      </c>
      <c r="E23" s="595"/>
      <c r="F23" s="595"/>
      <c r="G23" s="595"/>
      <c r="H23" s="595"/>
      <c r="I23" s="595" t="s">
        <v>16</v>
      </c>
      <c r="J23" s="595"/>
      <c r="K23" s="595"/>
      <c r="L23" s="595"/>
      <c r="M23" s="595"/>
      <c r="N23" s="595" t="s">
        <v>17</v>
      </c>
      <c r="O23" s="595"/>
      <c r="P23" s="595"/>
      <c r="Q23" s="595"/>
      <c r="R23" s="595"/>
      <c r="S23" s="608" t="s">
        <v>18</v>
      </c>
      <c r="T23" s="609"/>
      <c r="U23" s="609"/>
      <c r="V23" s="609"/>
      <c r="W23" s="609"/>
      <c r="X23" s="610"/>
      <c r="Y23" s="608" t="s">
        <v>19</v>
      </c>
      <c r="Z23" s="609"/>
      <c r="AA23" s="609"/>
      <c r="AB23" s="609"/>
      <c r="AC23" s="609"/>
      <c r="AD23" s="610"/>
      <c r="AE23" s="608" t="s">
        <v>72</v>
      </c>
      <c r="AF23" s="609"/>
      <c r="AG23" s="610"/>
      <c r="AH23" s="13"/>
      <c r="AI23" s="13"/>
      <c r="AJ23" s="13"/>
      <c r="AK23" s="13"/>
      <c r="AL23" s="13"/>
      <c r="AM23" s="13"/>
      <c r="AY23" s="80"/>
      <c r="AZ23" s="80"/>
    </row>
    <row r="24" spans="1:53" s="14" customFormat="1" ht="15.6" customHeight="1" x14ac:dyDescent="0.15">
      <c r="A24" s="49"/>
      <c r="B24" s="611" t="s">
        <v>9</v>
      </c>
      <c r="C24" s="611"/>
      <c r="D24" s="612">
        <v>365</v>
      </c>
      <c r="E24" s="612"/>
      <c r="F24" s="612"/>
      <c r="G24" s="612"/>
      <c r="H24" s="612"/>
      <c r="I24" s="612">
        <f>SUM(L25:M28)</f>
        <v>29</v>
      </c>
      <c r="J24" s="612"/>
      <c r="K24" s="612"/>
      <c r="L24" s="612"/>
      <c r="M24" s="612"/>
      <c r="N24" s="612">
        <f>SUM(Q25:R29)</f>
        <v>20</v>
      </c>
      <c r="O24" s="612"/>
      <c r="P24" s="612"/>
      <c r="Q24" s="612"/>
      <c r="R24" s="612"/>
      <c r="S24" s="613">
        <v>327</v>
      </c>
      <c r="T24" s="614"/>
      <c r="U24" s="614"/>
      <c r="V24" s="614"/>
      <c r="W24" s="614"/>
      <c r="X24" s="615"/>
      <c r="Y24" s="613">
        <v>286</v>
      </c>
      <c r="Z24" s="614"/>
      <c r="AA24" s="614"/>
      <c r="AB24" s="614"/>
      <c r="AC24" s="614"/>
      <c r="AD24" s="615"/>
      <c r="AE24" s="613">
        <f>S24-Y24</f>
        <v>41</v>
      </c>
      <c r="AF24" s="614"/>
      <c r="AG24" s="615"/>
      <c r="AH24" s="16"/>
      <c r="AI24" s="13"/>
      <c r="AJ24" s="13"/>
      <c r="AK24" s="16"/>
      <c r="AL24" s="16"/>
      <c r="AM24" s="16"/>
      <c r="AY24" s="80"/>
      <c r="AZ24" s="80"/>
    </row>
    <row r="25" spans="1:53" s="14" customFormat="1" ht="15.6" customHeight="1" x14ac:dyDescent="0.15">
      <c r="A25" s="49"/>
      <c r="B25" s="632" t="s">
        <v>21</v>
      </c>
      <c r="C25" s="633"/>
      <c r="D25" s="624"/>
      <c r="E25" s="625"/>
      <c r="F25" s="625"/>
      <c r="G25" s="626"/>
      <c r="H25" s="627"/>
      <c r="I25" s="57" t="s">
        <v>22</v>
      </c>
      <c r="J25" s="58"/>
      <c r="K25" s="58"/>
      <c r="L25" s="622">
        <v>8</v>
      </c>
      <c r="M25" s="623"/>
      <c r="N25" s="57" t="s">
        <v>62</v>
      </c>
      <c r="O25" s="58"/>
      <c r="P25" s="58"/>
      <c r="Q25" s="622">
        <v>13</v>
      </c>
      <c r="R25" s="623"/>
      <c r="S25" s="515" t="s">
        <v>23</v>
      </c>
      <c r="T25" s="516"/>
      <c r="U25" s="516"/>
      <c r="V25" s="516"/>
      <c r="W25" s="622">
        <v>54</v>
      </c>
      <c r="X25" s="623"/>
      <c r="Y25" s="57" t="s">
        <v>97</v>
      </c>
      <c r="Z25" s="516"/>
      <c r="AA25" s="516"/>
      <c r="AB25" s="516"/>
      <c r="AC25" s="622">
        <v>0</v>
      </c>
      <c r="AD25" s="623"/>
      <c r="AE25" s="529"/>
      <c r="AF25" s="530"/>
      <c r="AG25" s="5"/>
      <c r="AH25" s="16"/>
      <c r="AI25" s="13"/>
      <c r="AJ25" s="13"/>
      <c r="AK25" s="16"/>
      <c r="AL25" s="16"/>
      <c r="AM25" s="16"/>
      <c r="AY25" s="80"/>
      <c r="AZ25" s="80"/>
    </row>
    <row r="26" spans="1:53" s="14" customFormat="1" ht="15.6" customHeight="1" x14ac:dyDescent="0.15">
      <c r="A26" s="49"/>
      <c r="B26" s="634"/>
      <c r="C26" s="635"/>
      <c r="D26" s="620"/>
      <c r="E26" s="621"/>
      <c r="F26" s="621"/>
      <c r="G26" s="621"/>
      <c r="H26" s="59"/>
      <c r="I26" s="60" t="s">
        <v>0</v>
      </c>
      <c r="J26" s="61"/>
      <c r="K26" s="61"/>
      <c r="L26" s="616">
        <v>2</v>
      </c>
      <c r="M26" s="617"/>
      <c r="N26" s="60" t="s">
        <v>3</v>
      </c>
      <c r="O26" s="61"/>
      <c r="P26" s="61"/>
      <c r="Q26" s="616">
        <v>0</v>
      </c>
      <c r="R26" s="617"/>
      <c r="S26" s="517" t="s">
        <v>90</v>
      </c>
      <c r="T26" s="518"/>
      <c r="U26" s="518"/>
      <c r="V26" s="518"/>
      <c r="W26" s="616">
        <v>1</v>
      </c>
      <c r="X26" s="617"/>
      <c r="Y26" s="60" t="s">
        <v>4</v>
      </c>
      <c r="Z26" s="61"/>
      <c r="AA26" s="61"/>
      <c r="AB26" s="61"/>
      <c r="AC26" s="616">
        <v>105</v>
      </c>
      <c r="AD26" s="617"/>
      <c r="AE26" s="527"/>
      <c r="AF26" s="528"/>
      <c r="AG26" s="6"/>
      <c r="AH26" s="16"/>
      <c r="AI26" s="13"/>
      <c r="AJ26" s="13"/>
      <c r="AK26" s="16"/>
      <c r="AL26" s="16"/>
      <c r="AM26" s="16"/>
      <c r="AY26" s="80"/>
      <c r="AZ26" s="80"/>
    </row>
    <row r="27" spans="1:53" s="14" customFormat="1" ht="15.6" customHeight="1" x14ac:dyDescent="0.15">
      <c r="A27" s="49"/>
      <c r="B27" s="634"/>
      <c r="C27" s="635"/>
      <c r="D27" s="620"/>
      <c r="E27" s="621"/>
      <c r="F27" s="621"/>
      <c r="G27" s="621"/>
      <c r="H27" s="59"/>
      <c r="I27" s="60" t="s">
        <v>61</v>
      </c>
      <c r="J27" s="61"/>
      <c r="K27" s="61"/>
      <c r="L27" s="616">
        <v>4</v>
      </c>
      <c r="M27" s="617"/>
      <c r="N27" s="60" t="s">
        <v>0</v>
      </c>
      <c r="O27" s="61"/>
      <c r="P27" s="61"/>
      <c r="Q27" s="616">
        <v>0</v>
      </c>
      <c r="R27" s="617"/>
      <c r="S27" s="517" t="s">
        <v>91</v>
      </c>
      <c r="T27" s="518"/>
      <c r="U27" s="518"/>
      <c r="V27" s="518"/>
      <c r="W27" s="616">
        <v>9</v>
      </c>
      <c r="X27" s="617"/>
      <c r="Y27" s="60" t="s">
        <v>2</v>
      </c>
      <c r="Z27" s="62"/>
      <c r="AA27" s="62"/>
      <c r="AB27" s="62"/>
      <c r="AC27" s="616">
        <v>17</v>
      </c>
      <c r="AD27" s="617"/>
      <c r="AE27" s="527"/>
      <c r="AF27" s="528"/>
      <c r="AG27" s="6"/>
      <c r="AH27" s="16"/>
      <c r="AI27" s="13"/>
      <c r="AJ27" s="13"/>
      <c r="AK27" s="16"/>
      <c r="AL27" s="16"/>
      <c r="AM27" s="16"/>
      <c r="AQ27" s="18"/>
      <c r="AY27" s="80"/>
      <c r="AZ27" s="80"/>
    </row>
    <row r="28" spans="1:53" s="14" customFormat="1" ht="15.6" customHeight="1" x14ac:dyDescent="0.15">
      <c r="A28" s="49"/>
      <c r="B28" s="634"/>
      <c r="C28" s="635"/>
      <c r="D28" s="620"/>
      <c r="E28" s="621"/>
      <c r="F28" s="621"/>
      <c r="G28" s="621"/>
      <c r="H28" s="59"/>
      <c r="I28" s="60" t="s">
        <v>60</v>
      </c>
      <c r="J28" s="61"/>
      <c r="K28" s="61"/>
      <c r="L28" s="616">
        <v>15</v>
      </c>
      <c r="M28" s="617"/>
      <c r="N28" s="60" t="s">
        <v>4</v>
      </c>
      <c r="O28" s="61"/>
      <c r="P28" s="61"/>
      <c r="Q28" s="616">
        <v>0</v>
      </c>
      <c r="R28" s="617"/>
      <c r="S28" s="517" t="s">
        <v>92</v>
      </c>
      <c r="T28" s="518"/>
      <c r="U28" s="518"/>
      <c r="V28" s="518"/>
      <c r="W28" s="616">
        <v>54</v>
      </c>
      <c r="X28" s="617"/>
      <c r="Y28" s="60" t="s">
        <v>98</v>
      </c>
      <c r="Z28" s="61"/>
      <c r="AA28" s="61"/>
      <c r="AB28" s="61"/>
      <c r="AC28" s="616">
        <v>48</v>
      </c>
      <c r="AD28" s="617"/>
      <c r="AE28" s="527"/>
      <c r="AF28" s="528"/>
      <c r="AG28" s="6"/>
      <c r="AH28" s="16"/>
      <c r="AI28" s="13"/>
      <c r="AJ28" s="13" t="s">
        <v>64</v>
      </c>
      <c r="AK28" s="16"/>
      <c r="AL28" s="16"/>
      <c r="AM28" s="16"/>
      <c r="AY28" s="80"/>
      <c r="AZ28" s="80"/>
    </row>
    <row r="29" spans="1:53" s="14" customFormat="1" ht="15.6" customHeight="1" x14ac:dyDescent="0.15">
      <c r="A29" s="49"/>
      <c r="B29" s="634"/>
      <c r="C29" s="635"/>
      <c r="D29" s="620"/>
      <c r="E29" s="621"/>
      <c r="F29" s="621"/>
      <c r="G29" s="621"/>
      <c r="H29" s="59"/>
      <c r="I29" s="60"/>
      <c r="J29" s="61"/>
      <c r="K29" s="61"/>
      <c r="L29" s="61"/>
      <c r="M29" s="63"/>
      <c r="N29" s="60" t="s">
        <v>60</v>
      </c>
      <c r="O29" s="61"/>
      <c r="P29" s="61"/>
      <c r="Q29" s="616">
        <v>7</v>
      </c>
      <c r="R29" s="617"/>
      <c r="S29" s="517" t="s">
        <v>94</v>
      </c>
      <c r="T29" s="518"/>
      <c r="U29" s="518"/>
      <c r="V29" s="518"/>
      <c r="W29" s="616">
        <v>16</v>
      </c>
      <c r="X29" s="617"/>
      <c r="Y29" s="60" t="s">
        <v>99</v>
      </c>
      <c r="Z29" s="61"/>
      <c r="AA29" s="61"/>
      <c r="AB29" s="61"/>
      <c r="AC29" s="618">
        <v>3</v>
      </c>
      <c r="AD29" s="619"/>
      <c r="AE29" s="527"/>
      <c r="AF29" s="528"/>
      <c r="AG29" s="6"/>
      <c r="AH29" s="16"/>
      <c r="AI29" s="13"/>
      <c r="AJ29" s="13"/>
      <c r="AK29" s="16"/>
      <c r="AL29" s="16"/>
      <c r="AM29" s="16"/>
      <c r="AY29" s="80"/>
      <c r="AZ29" s="80"/>
    </row>
    <row r="30" spans="1:53" s="14" customFormat="1" ht="15.6" customHeight="1" x14ac:dyDescent="0.15">
      <c r="A30" s="49"/>
      <c r="B30" s="634"/>
      <c r="C30" s="635"/>
      <c r="D30" s="517"/>
      <c r="E30" s="518"/>
      <c r="F30" s="518"/>
      <c r="G30" s="518"/>
      <c r="H30" s="59"/>
      <c r="I30" s="60"/>
      <c r="J30" s="61"/>
      <c r="K30" s="61"/>
      <c r="L30" s="61"/>
      <c r="M30" s="63"/>
      <c r="N30" s="60"/>
      <c r="O30" s="61"/>
      <c r="P30" s="61"/>
      <c r="Q30" s="510"/>
      <c r="R30" s="511"/>
      <c r="S30" s="517" t="s">
        <v>93</v>
      </c>
      <c r="T30" s="518"/>
      <c r="U30" s="518"/>
      <c r="V30" s="518"/>
      <c r="W30" s="616">
        <v>0</v>
      </c>
      <c r="X30" s="617"/>
      <c r="Y30" s="60" t="s">
        <v>100</v>
      </c>
      <c r="Z30" s="61"/>
      <c r="AA30" s="61"/>
      <c r="AB30" s="61"/>
      <c r="AC30" s="618">
        <v>12</v>
      </c>
      <c r="AD30" s="619"/>
      <c r="AE30" s="527"/>
      <c r="AF30" s="528"/>
      <c r="AG30" s="6"/>
      <c r="AH30" s="16"/>
      <c r="AI30" s="13"/>
      <c r="AJ30" s="13"/>
      <c r="AK30" s="16"/>
      <c r="AL30" s="16"/>
      <c r="AM30" s="16"/>
      <c r="AY30" s="80"/>
      <c r="AZ30" s="80"/>
    </row>
    <row r="31" spans="1:53" s="14" customFormat="1" ht="15.6" customHeight="1" x14ac:dyDescent="0.15">
      <c r="A31" s="49"/>
      <c r="B31" s="634"/>
      <c r="C31" s="635"/>
      <c r="D31" s="517"/>
      <c r="E31" s="518"/>
      <c r="F31" s="518"/>
      <c r="G31" s="518"/>
      <c r="H31" s="59"/>
      <c r="I31" s="60"/>
      <c r="J31" s="61"/>
      <c r="K31" s="61"/>
      <c r="L31" s="61"/>
      <c r="M31" s="63"/>
      <c r="N31" s="60"/>
      <c r="O31" s="61"/>
      <c r="P31" s="61"/>
      <c r="Q31" s="510"/>
      <c r="R31" s="511"/>
      <c r="S31" s="517" t="s">
        <v>95</v>
      </c>
      <c r="T31" s="518"/>
      <c r="U31" s="518"/>
      <c r="V31" s="518"/>
      <c r="W31" s="616">
        <v>29</v>
      </c>
      <c r="X31" s="617"/>
      <c r="Y31" s="60" t="s">
        <v>101</v>
      </c>
      <c r="Z31" s="61"/>
      <c r="AA31" s="61"/>
      <c r="AB31" s="61"/>
      <c r="AC31" s="618">
        <v>4</v>
      </c>
      <c r="AD31" s="619"/>
      <c r="AE31" s="527"/>
      <c r="AF31" s="528"/>
      <c r="AG31" s="6"/>
      <c r="AH31" s="16"/>
      <c r="AI31" s="16"/>
      <c r="AJ31" s="16"/>
      <c r="AK31" s="16"/>
      <c r="AL31" s="16"/>
      <c r="AM31" s="16"/>
      <c r="AY31" s="80"/>
      <c r="AZ31" s="80"/>
    </row>
    <row r="32" spans="1:53" s="14" customFormat="1" ht="15.6" customHeight="1" x14ac:dyDescent="0.15">
      <c r="A32" s="49"/>
      <c r="B32" s="634"/>
      <c r="C32" s="635"/>
      <c r="D32" s="517"/>
      <c r="E32" s="518"/>
      <c r="F32" s="518"/>
      <c r="G32" s="518"/>
      <c r="H32" s="59"/>
      <c r="I32" s="60"/>
      <c r="J32" s="61"/>
      <c r="K32" s="61"/>
      <c r="L32" s="61"/>
      <c r="M32" s="63"/>
      <c r="N32" s="60"/>
      <c r="O32" s="61"/>
      <c r="P32" s="61"/>
      <c r="Q32" s="510"/>
      <c r="R32" s="511"/>
      <c r="S32" s="517" t="s">
        <v>96</v>
      </c>
      <c r="T32" s="518"/>
      <c r="U32" s="518"/>
      <c r="V32" s="518"/>
      <c r="W32" s="616">
        <v>1</v>
      </c>
      <c r="X32" s="617"/>
      <c r="Y32" s="60" t="s">
        <v>103</v>
      </c>
      <c r="Z32" s="61"/>
      <c r="AA32" s="61"/>
      <c r="AB32" s="61"/>
      <c r="AC32" s="618">
        <v>22</v>
      </c>
      <c r="AD32" s="619"/>
      <c r="AE32" s="527"/>
      <c r="AF32" s="528"/>
      <c r="AG32" s="6"/>
      <c r="AH32" s="16"/>
      <c r="AI32" s="16"/>
      <c r="AJ32" s="16"/>
      <c r="AK32" s="16"/>
      <c r="AL32" s="16"/>
      <c r="AM32" s="16"/>
      <c r="AY32" s="80"/>
      <c r="AZ32" s="80"/>
    </row>
    <row r="33" spans="1:72" s="14" customFormat="1" ht="15.6" customHeight="1" x14ac:dyDescent="0.15">
      <c r="A33" s="49"/>
      <c r="B33" s="634"/>
      <c r="C33" s="635"/>
      <c r="D33" s="517"/>
      <c r="E33" s="518"/>
      <c r="F33" s="518"/>
      <c r="G33" s="518"/>
      <c r="H33" s="59"/>
      <c r="I33" s="60"/>
      <c r="J33" s="61"/>
      <c r="K33" s="61"/>
      <c r="L33" s="61"/>
      <c r="M33" s="63"/>
      <c r="N33" s="60"/>
      <c r="O33" s="61"/>
      <c r="P33" s="61"/>
      <c r="Q33" s="510"/>
      <c r="R33" s="511"/>
      <c r="S33" s="517" t="s">
        <v>80</v>
      </c>
      <c r="T33" s="518"/>
      <c r="U33" s="518"/>
      <c r="V33" s="518"/>
      <c r="W33" s="616">
        <v>112</v>
      </c>
      <c r="X33" s="617"/>
      <c r="Y33" s="60" t="s">
        <v>104</v>
      </c>
      <c r="Z33" s="61"/>
      <c r="AA33" s="61"/>
      <c r="AB33" s="61"/>
      <c r="AC33" s="618">
        <v>1</v>
      </c>
      <c r="AD33" s="619"/>
      <c r="AE33" s="527"/>
      <c r="AF33" s="528"/>
      <c r="AG33" s="6"/>
      <c r="AH33" s="16"/>
      <c r="AI33" s="16"/>
      <c r="AJ33" s="16"/>
      <c r="AK33" s="16"/>
      <c r="AL33" s="16"/>
      <c r="AM33" s="16"/>
      <c r="AY33" s="80"/>
      <c r="AZ33" s="80"/>
    </row>
    <row r="34" spans="1:72" s="3" customFormat="1" ht="15.6" customHeight="1" x14ac:dyDescent="0.15">
      <c r="A34" s="49"/>
      <c r="B34" s="634"/>
      <c r="C34" s="635"/>
      <c r="D34" s="517"/>
      <c r="E34" s="518"/>
      <c r="F34" s="518"/>
      <c r="G34" s="518"/>
      <c r="H34" s="59"/>
      <c r="I34" s="60"/>
      <c r="J34" s="61"/>
      <c r="K34" s="61"/>
      <c r="L34" s="61"/>
      <c r="M34" s="63"/>
      <c r="N34" s="60"/>
      <c r="O34" s="61"/>
      <c r="P34" s="61"/>
      <c r="Q34" s="510"/>
      <c r="R34" s="511"/>
      <c r="S34" s="517" t="s">
        <v>102</v>
      </c>
      <c r="T34" s="518"/>
      <c r="U34" s="518"/>
      <c r="V34" s="518"/>
      <c r="W34" s="616">
        <v>3</v>
      </c>
      <c r="X34" s="617"/>
      <c r="Y34" s="60" t="s">
        <v>105</v>
      </c>
      <c r="Z34" s="61"/>
      <c r="AA34" s="61"/>
      <c r="AB34" s="61"/>
      <c r="AC34" s="618">
        <v>45</v>
      </c>
      <c r="AD34" s="619"/>
      <c r="AE34" s="527"/>
      <c r="AF34" s="528"/>
      <c r="AG34" s="6"/>
      <c r="AH34" s="16"/>
      <c r="AI34" s="16"/>
      <c r="AJ34" s="16"/>
      <c r="AK34" s="16"/>
      <c r="AL34" s="16"/>
      <c r="AM34" s="16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80"/>
      <c r="AZ34" s="80"/>
      <c r="BA34" s="14"/>
    </row>
    <row r="35" spans="1:72" s="2" customFormat="1" ht="15.6" customHeight="1" x14ac:dyDescent="0.15">
      <c r="A35" s="49"/>
      <c r="B35" s="636"/>
      <c r="C35" s="637"/>
      <c r="D35" s="628"/>
      <c r="E35" s="629"/>
      <c r="F35" s="629"/>
      <c r="G35" s="629"/>
      <c r="H35" s="64"/>
      <c r="I35" s="65"/>
      <c r="J35" s="66"/>
      <c r="K35" s="66"/>
      <c r="L35" s="66"/>
      <c r="M35" s="67"/>
      <c r="N35" s="65"/>
      <c r="O35" s="66"/>
      <c r="P35" s="66"/>
      <c r="Q35" s="66"/>
      <c r="R35" s="67"/>
      <c r="S35" s="512" t="s">
        <v>24</v>
      </c>
      <c r="T35" s="513"/>
      <c r="U35" s="513"/>
      <c r="V35" s="513"/>
      <c r="W35" s="630">
        <v>48</v>
      </c>
      <c r="X35" s="631"/>
      <c r="Y35" s="65" t="s">
        <v>24</v>
      </c>
      <c r="Z35" s="68"/>
      <c r="AA35" s="66"/>
      <c r="AB35" s="66"/>
      <c r="AC35" s="630">
        <v>29</v>
      </c>
      <c r="AD35" s="631"/>
      <c r="AE35" s="525"/>
      <c r="AF35" s="526"/>
      <c r="AG35" s="8"/>
      <c r="AH35" s="16"/>
      <c r="AI35" s="16"/>
      <c r="AJ35" s="16"/>
      <c r="AK35" s="16"/>
      <c r="AL35" s="16"/>
      <c r="AM35" s="16"/>
      <c r="AN35" s="537"/>
      <c r="AO35" s="537"/>
      <c r="AP35" s="537"/>
      <c r="AQ35" s="537"/>
      <c r="AR35" s="537"/>
      <c r="AS35" s="537"/>
      <c r="AT35" s="537"/>
      <c r="AU35" s="537"/>
      <c r="AV35" s="537"/>
      <c r="AW35" s="537"/>
      <c r="AX35" s="537"/>
      <c r="AY35" s="887"/>
      <c r="AZ35" s="887"/>
      <c r="BA35" s="537"/>
    </row>
    <row r="36" spans="1:72" s="14" customFormat="1" ht="15.6" customHeight="1" x14ac:dyDescent="0.15">
      <c r="A36" s="523" t="s">
        <v>225</v>
      </c>
      <c r="B36" s="227"/>
      <c r="C36" s="25"/>
      <c r="D36" s="526"/>
      <c r="E36" s="526"/>
      <c r="F36" s="526"/>
      <c r="G36" s="526"/>
      <c r="H36" s="48"/>
      <c r="I36" s="526"/>
      <c r="J36" s="526"/>
      <c r="K36" s="526"/>
      <c r="L36" s="526"/>
      <c r="M36" s="48"/>
      <c r="N36" s="526"/>
      <c r="O36" s="526"/>
      <c r="P36" s="526"/>
      <c r="Q36" s="526"/>
      <c r="R36" s="22"/>
      <c r="S36" s="542"/>
      <c r="T36" s="526"/>
      <c r="U36" s="526"/>
      <c r="V36" s="526"/>
      <c r="W36" s="543"/>
      <c r="X36" s="543"/>
      <c r="Y36" s="26"/>
      <c r="Z36" s="26"/>
      <c r="AA36" s="542"/>
      <c r="AB36" s="542"/>
      <c r="AC36" s="542"/>
      <c r="AD36" s="543"/>
      <c r="AE36" s="526"/>
      <c r="AF36" s="526"/>
      <c r="AG36" s="526"/>
      <c r="AH36" s="16"/>
      <c r="AI36" s="16"/>
      <c r="AJ36" s="16"/>
      <c r="AK36" s="16"/>
      <c r="AL36" s="18"/>
      <c r="AM36" s="16"/>
      <c r="AN36" s="17"/>
      <c r="AO36" s="10"/>
      <c r="AP36" s="10"/>
      <c r="AQ36" s="74"/>
      <c r="AR36" s="9"/>
      <c r="AS36" s="9"/>
      <c r="AT36" s="9"/>
      <c r="AU36" s="10"/>
      <c r="AV36" s="9"/>
      <c r="AW36" s="9"/>
      <c r="AX36" s="9"/>
      <c r="AY36" s="82"/>
      <c r="AZ36" s="82"/>
      <c r="BA36" s="9"/>
      <c r="BB36" s="9"/>
      <c r="BC36" s="9"/>
      <c r="BD36" s="9"/>
      <c r="BE36" s="10"/>
      <c r="BF36" s="9"/>
      <c r="BG36" s="9"/>
      <c r="BH36" s="9"/>
      <c r="BI36" s="11"/>
      <c r="BJ36" s="11"/>
      <c r="BK36" s="12"/>
      <c r="BL36" s="9"/>
      <c r="BM36" s="9"/>
      <c r="BN36" s="9"/>
      <c r="BO36" s="11"/>
      <c r="BP36" s="9"/>
      <c r="BQ36" s="9"/>
      <c r="BR36" s="9"/>
      <c r="BS36" s="9"/>
      <c r="BT36" s="528"/>
    </row>
    <row r="37" spans="1:72" s="14" customFormat="1" ht="15.6" customHeight="1" x14ac:dyDescent="0.15">
      <c r="A37" s="52"/>
      <c r="B37" s="595" t="s">
        <v>14</v>
      </c>
      <c r="C37" s="595"/>
      <c r="D37" s="595" t="s">
        <v>15</v>
      </c>
      <c r="E37" s="595"/>
      <c r="F37" s="595"/>
      <c r="G37" s="595"/>
      <c r="H37" s="595"/>
      <c r="I37" s="595" t="s">
        <v>16</v>
      </c>
      <c r="J37" s="595"/>
      <c r="K37" s="595"/>
      <c r="L37" s="595"/>
      <c r="M37" s="595"/>
      <c r="N37" s="595" t="s">
        <v>17</v>
      </c>
      <c r="O37" s="595"/>
      <c r="P37" s="595"/>
      <c r="Q37" s="595"/>
      <c r="R37" s="595"/>
      <c r="S37" s="608" t="s">
        <v>18</v>
      </c>
      <c r="T37" s="609"/>
      <c r="U37" s="609"/>
      <c r="V37" s="609"/>
      <c r="W37" s="609"/>
      <c r="X37" s="610"/>
      <c r="Y37" s="608" t="s">
        <v>19</v>
      </c>
      <c r="Z37" s="609"/>
      <c r="AA37" s="609"/>
      <c r="AB37" s="609"/>
      <c r="AC37" s="609"/>
      <c r="AD37" s="610"/>
      <c r="AE37" s="608" t="s">
        <v>72</v>
      </c>
      <c r="AF37" s="609"/>
      <c r="AG37" s="610"/>
      <c r="AH37" s="16"/>
      <c r="AI37" s="16"/>
      <c r="AJ37" s="16"/>
      <c r="AK37" s="16"/>
      <c r="AL37" s="16"/>
      <c r="AM37" s="16"/>
      <c r="AY37" s="80"/>
      <c r="AZ37" s="80"/>
    </row>
    <row r="38" spans="1:72" s="3" customFormat="1" ht="15.6" customHeight="1" x14ac:dyDescent="0.15">
      <c r="A38" s="49"/>
      <c r="B38" s="611" t="s">
        <v>9</v>
      </c>
      <c r="C38" s="611"/>
      <c r="D38" s="612">
        <f>25+35+25+24+27+31+35+24+25+32+37+40</f>
        <v>360</v>
      </c>
      <c r="E38" s="612"/>
      <c r="F38" s="612"/>
      <c r="G38" s="612"/>
      <c r="H38" s="612"/>
      <c r="I38" s="612">
        <f>3+4+5+0+0+0+1+3+0+1+2+2</f>
        <v>21</v>
      </c>
      <c r="J38" s="612"/>
      <c r="K38" s="612"/>
      <c r="L38" s="612"/>
      <c r="M38" s="612"/>
      <c r="N38" s="612">
        <f>1+0+4+1+3+3+5+4+1+0+4+2</f>
        <v>28</v>
      </c>
      <c r="O38" s="612"/>
      <c r="P38" s="612"/>
      <c r="Q38" s="612"/>
      <c r="R38" s="612"/>
      <c r="S38" s="638">
        <f>22+28+20+24+23+26+20+30+24+26+31+37</f>
        <v>311</v>
      </c>
      <c r="T38" s="639"/>
      <c r="U38" s="639"/>
      <c r="V38" s="639"/>
      <c r="W38" s="639"/>
      <c r="X38" s="640"/>
      <c r="Y38" s="638">
        <f>22+22+27+26+21+36+17+23+22+26+33+25</f>
        <v>300</v>
      </c>
      <c r="Z38" s="639"/>
      <c r="AA38" s="639"/>
      <c r="AB38" s="639"/>
      <c r="AC38" s="639"/>
      <c r="AD38" s="640"/>
      <c r="AE38" s="613">
        <f>S38-Y38</f>
        <v>11</v>
      </c>
      <c r="AF38" s="614"/>
      <c r="AG38" s="615"/>
      <c r="AH38" s="537"/>
      <c r="AI38" s="537"/>
      <c r="AJ38" s="888"/>
      <c r="AK38" s="888"/>
      <c r="AL38" s="888"/>
      <c r="AM38" s="888"/>
      <c r="AN38" s="18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80"/>
      <c r="AZ38" s="80"/>
      <c r="BA38" s="14"/>
    </row>
    <row r="39" spans="1:72" s="3" customFormat="1" ht="15.6" customHeight="1" x14ac:dyDescent="0.15">
      <c r="A39" s="49"/>
      <c r="B39" s="632" t="s">
        <v>202</v>
      </c>
      <c r="C39" s="633"/>
      <c r="D39" s="624"/>
      <c r="E39" s="625"/>
      <c r="F39" s="625"/>
      <c r="G39" s="626"/>
      <c r="H39" s="627"/>
      <c r="I39" s="57" t="s">
        <v>22</v>
      </c>
      <c r="J39" s="58"/>
      <c r="K39" s="58"/>
      <c r="L39" s="622">
        <f>1+1+1+2+2</f>
        <v>7</v>
      </c>
      <c r="M39" s="623"/>
      <c r="N39" s="28" t="s">
        <v>62</v>
      </c>
      <c r="O39" s="540"/>
      <c r="P39" s="540"/>
      <c r="Q39" s="648">
        <f>1+2+0+0+3+3+1+1+1+4+2</f>
        <v>18</v>
      </c>
      <c r="R39" s="649"/>
      <c r="S39" s="515" t="s">
        <v>23</v>
      </c>
      <c r="T39" s="516"/>
      <c r="U39" s="516"/>
      <c r="V39" s="516"/>
      <c r="W39" s="622">
        <f>2+5+5+2+0+1+2+0+3+4+2+3</f>
        <v>29</v>
      </c>
      <c r="X39" s="623"/>
      <c r="Y39" s="57" t="s">
        <v>97</v>
      </c>
      <c r="Z39" s="516"/>
      <c r="AA39" s="516"/>
      <c r="AB39" s="516"/>
      <c r="AC39" s="622">
        <f>0+0+0+0+0+0+0+0+0+0+0+0</f>
        <v>0</v>
      </c>
      <c r="AD39" s="623"/>
      <c r="AE39" s="529"/>
      <c r="AF39" s="530"/>
      <c r="AG39" s="5"/>
      <c r="AH39" s="16"/>
      <c r="AI39" s="16"/>
      <c r="AJ39" s="643"/>
      <c r="AK39" s="643"/>
      <c r="AL39" s="643"/>
      <c r="AM39" s="643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80"/>
      <c r="AZ39" s="80"/>
      <c r="BA39" s="14"/>
    </row>
    <row r="40" spans="1:72" s="3" customFormat="1" ht="15.6" customHeight="1" x14ac:dyDescent="0.15">
      <c r="A40" s="49"/>
      <c r="B40" s="634"/>
      <c r="C40" s="635"/>
      <c r="D40" s="620"/>
      <c r="E40" s="621"/>
      <c r="F40" s="621"/>
      <c r="G40" s="621"/>
      <c r="H40" s="59"/>
      <c r="I40" s="60" t="s">
        <v>0</v>
      </c>
      <c r="J40" s="61"/>
      <c r="K40" s="61"/>
      <c r="L40" s="616">
        <f>1+0+1</f>
        <v>2</v>
      </c>
      <c r="M40" s="617"/>
      <c r="N40" s="538" t="s">
        <v>3</v>
      </c>
      <c r="O40" s="539"/>
      <c r="P40" s="539"/>
      <c r="Q40" s="641">
        <f>0+0+0+0+0+0+3+1+0</f>
        <v>4</v>
      </c>
      <c r="R40" s="642"/>
      <c r="S40" s="517" t="s">
        <v>90</v>
      </c>
      <c r="T40" s="518"/>
      <c r="U40" s="518"/>
      <c r="V40" s="518"/>
      <c r="W40" s="616">
        <f>0+0+0+0+0+0+0+0+0+0+0+0</f>
        <v>0</v>
      </c>
      <c r="X40" s="617"/>
      <c r="Y40" s="60" t="s">
        <v>4</v>
      </c>
      <c r="Z40" s="61"/>
      <c r="AA40" s="61"/>
      <c r="AB40" s="61"/>
      <c r="AC40" s="616">
        <f>12+7+12+10+9+10+7+12+12+15+21+14</f>
        <v>141</v>
      </c>
      <c r="AD40" s="617"/>
      <c r="AE40" s="527"/>
      <c r="AF40" s="528"/>
      <c r="AG40" s="6"/>
      <c r="AH40" s="16"/>
      <c r="AI40" s="16"/>
      <c r="AJ40" s="16"/>
      <c r="AK40" s="16"/>
      <c r="AL40" s="16"/>
      <c r="AM40" s="16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80"/>
      <c r="AZ40" s="80"/>
      <c r="BA40" s="14"/>
    </row>
    <row r="41" spans="1:72" s="3" customFormat="1" ht="15.6" customHeight="1" x14ac:dyDescent="0.15">
      <c r="A41" s="49"/>
      <c r="B41" s="634"/>
      <c r="C41" s="635"/>
      <c r="D41" s="620"/>
      <c r="E41" s="621"/>
      <c r="F41" s="621"/>
      <c r="G41" s="621"/>
      <c r="H41" s="59"/>
      <c r="I41" s="60" t="s">
        <v>61</v>
      </c>
      <c r="J41" s="61"/>
      <c r="K41" s="61"/>
      <c r="L41" s="616">
        <f>0+0+1</f>
        <v>1</v>
      </c>
      <c r="M41" s="617"/>
      <c r="N41" s="538" t="s">
        <v>0</v>
      </c>
      <c r="O41" s="539"/>
      <c r="P41" s="539"/>
      <c r="Q41" s="641">
        <f>0+0+0+0+0+0+0+0+0</f>
        <v>0</v>
      </c>
      <c r="R41" s="642"/>
      <c r="S41" s="517" t="s">
        <v>91</v>
      </c>
      <c r="T41" s="518"/>
      <c r="U41" s="518"/>
      <c r="V41" s="518"/>
      <c r="W41" s="616">
        <f>1+1+0+1+2+4+0+0+1+0+1+0</f>
        <v>11</v>
      </c>
      <c r="X41" s="617"/>
      <c r="Y41" s="60" t="s">
        <v>2</v>
      </c>
      <c r="Z41" s="62"/>
      <c r="AA41" s="62"/>
      <c r="AB41" s="62"/>
      <c r="AC41" s="616">
        <f>1+2+1+0+0+2+1+0+2+0+0+0</f>
        <v>9</v>
      </c>
      <c r="AD41" s="617"/>
      <c r="AE41" s="527"/>
      <c r="AF41" s="528"/>
      <c r="AG41" s="6"/>
      <c r="AH41" s="16"/>
      <c r="AI41" s="16"/>
      <c r="AJ41" s="643"/>
      <c r="AK41" s="643"/>
      <c r="AL41" s="643"/>
      <c r="AM41" s="643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80"/>
      <c r="AZ41" s="80"/>
      <c r="BA41" s="14"/>
    </row>
    <row r="42" spans="1:72" s="3" customFormat="1" ht="15.6" customHeight="1" x14ac:dyDescent="0.15">
      <c r="A42" s="49"/>
      <c r="B42" s="634"/>
      <c r="C42" s="635"/>
      <c r="D42" s="620"/>
      <c r="E42" s="621"/>
      <c r="F42" s="621"/>
      <c r="G42" s="621"/>
      <c r="H42" s="59"/>
      <c r="I42" s="60" t="s">
        <v>60</v>
      </c>
      <c r="J42" s="61"/>
      <c r="K42" s="61"/>
      <c r="L42" s="616">
        <f>1+3+5+1+1</f>
        <v>11</v>
      </c>
      <c r="M42" s="617"/>
      <c r="N42" s="538" t="s">
        <v>4</v>
      </c>
      <c r="O42" s="539"/>
      <c r="P42" s="539"/>
      <c r="Q42" s="641">
        <f>0+0+0+0+0+0+0+0+0</f>
        <v>0</v>
      </c>
      <c r="R42" s="642"/>
      <c r="S42" s="517" t="s">
        <v>92</v>
      </c>
      <c r="T42" s="518"/>
      <c r="U42" s="518"/>
      <c r="V42" s="518"/>
      <c r="W42" s="616">
        <f>6+2+1+3+1+1+2+0+1+0+0+0</f>
        <v>17</v>
      </c>
      <c r="X42" s="617"/>
      <c r="Y42" s="60" t="s">
        <v>98</v>
      </c>
      <c r="Z42" s="61"/>
      <c r="AA42" s="61"/>
      <c r="AB42" s="61"/>
      <c r="AC42" s="616">
        <f>1+3+4+2+3+5+2+3+1+1+2+3</f>
        <v>30</v>
      </c>
      <c r="AD42" s="617"/>
      <c r="AE42" s="527"/>
      <c r="AF42" s="528"/>
      <c r="AG42" s="6"/>
      <c r="AH42" s="16"/>
      <c r="AI42" s="541"/>
      <c r="AJ42" s="16"/>
      <c r="AK42" s="16"/>
      <c r="AL42" s="16"/>
      <c r="AM42" s="16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80"/>
      <c r="AZ42" s="80"/>
      <c r="BA42" s="14"/>
    </row>
    <row r="43" spans="1:72" s="3" customFormat="1" ht="15.6" customHeight="1" x14ac:dyDescent="0.15">
      <c r="A43" s="49"/>
      <c r="B43" s="634"/>
      <c r="C43" s="635"/>
      <c r="D43" s="620"/>
      <c r="E43" s="621"/>
      <c r="F43" s="621"/>
      <c r="G43" s="621"/>
      <c r="H43" s="59"/>
      <c r="I43" s="60"/>
      <c r="J43" s="61"/>
      <c r="K43" s="61"/>
      <c r="L43" s="61"/>
      <c r="M43" s="63"/>
      <c r="N43" s="538" t="s">
        <v>60</v>
      </c>
      <c r="O43" s="539"/>
      <c r="P43" s="539"/>
      <c r="Q43" s="641">
        <f>0+2+1+0+0+0+1+2+0+0</f>
        <v>6</v>
      </c>
      <c r="R43" s="642"/>
      <c r="S43" s="517" t="s">
        <v>94</v>
      </c>
      <c r="T43" s="518"/>
      <c r="U43" s="518"/>
      <c r="V43" s="518"/>
      <c r="W43" s="616">
        <f>0+0+0+0+1+1+0+0+0+0+0+1</f>
        <v>3</v>
      </c>
      <c r="X43" s="617"/>
      <c r="Y43" s="60" t="s">
        <v>99</v>
      </c>
      <c r="Z43" s="61"/>
      <c r="AA43" s="61"/>
      <c r="AB43" s="61"/>
      <c r="AC43" s="618">
        <f>0+0+0+0+0+2+1+0+0+0+0+0</f>
        <v>3</v>
      </c>
      <c r="AD43" s="619"/>
      <c r="AE43" s="527"/>
      <c r="AF43" s="528"/>
      <c r="AG43" s="6"/>
      <c r="AH43" s="16"/>
      <c r="AI43" s="541"/>
      <c r="AJ43" s="16"/>
      <c r="AK43" s="16"/>
      <c r="AL43" s="16"/>
      <c r="AM43" s="16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80"/>
      <c r="AZ43" s="80"/>
      <c r="BA43" s="14"/>
    </row>
    <row r="44" spans="1:72" s="3" customFormat="1" ht="15.6" customHeight="1" x14ac:dyDescent="0.15">
      <c r="A44" s="49"/>
      <c r="B44" s="634"/>
      <c r="C44" s="635"/>
      <c r="D44" s="517"/>
      <c r="E44" s="518"/>
      <c r="F44" s="518"/>
      <c r="G44" s="518"/>
      <c r="H44" s="59"/>
      <c r="I44" s="60"/>
      <c r="J44" s="61"/>
      <c r="K44" s="61"/>
      <c r="L44" s="61"/>
      <c r="M44" s="63"/>
      <c r="N44" s="60"/>
      <c r="O44" s="61"/>
      <c r="P44" s="61"/>
      <c r="Q44" s="510"/>
      <c r="R44" s="511"/>
      <c r="S44" s="517" t="s">
        <v>93</v>
      </c>
      <c r="T44" s="518"/>
      <c r="U44" s="518"/>
      <c r="V44" s="518"/>
      <c r="W44" s="616">
        <f>0+0+0+0+0+0+0+1+0+0+0+0</f>
        <v>1</v>
      </c>
      <c r="X44" s="617"/>
      <c r="Y44" s="60" t="s">
        <v>100</v>
      </c>
      <c r="Z44" s="61"/>
      <c r="AA44" s="61"/>
      <c r="AB44" s="61"/>
      <c r="AC44" s="618">
        <f>0+1+0+3+0+0+1+0+0+0+1+0</f>
        <v>6</v>
      </c>
      <c r="AD44" s="619"/>
      <c r="AE44" s="527"/>
      <c r="AF44" s="528"/>
      <c r="AG44" s="6"/>
      <c r="AH44" s="16"/>
      <c r="AI44" s="541"/>
      <c r="AJ44" s="16"/>
      <c r="AK44" s="16"/>
      <c r="AL44" s="16"/>
      <c r="AM44" s="16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80"/>
      <c r="AZ44" s="80"/>
      <c r="BA44" s="14"/>
    </row>
    <row r="45" spans="1:72" s="3" customFormat="1" ht="15.6" customHeight="1" x14ac:dyDescent="0.15">
      <c r="A45" s="49"/>
      <c r="B45" s="634"/>
      <c r="C45" s="635"/>
      <c r="D45" s="517"/>
      <c r="E45" s="518"/>
      <c r="F45" s="518"/>
      <c r="G45" s="518"/>
      <c r="H45" s="59"/>
      <c r="I45" s="60"/>
      <c r="J45" s="61"/>
      <c r="K45" s="61"/>
      <c r="L45" s="61"/>
      <c r="M45" s="63"/>
      <c r="N45" s="60"/>
      <c r="O45" s="61"/>
      <c r="P45" s="61"/>
      <c r="Q45" s="510"/>
      <c r="R45" s="511"/>
      <c r="S45" s="517" t="s">
        <v>95</v>
      </c>
      <c r="T45" s="518"/>
      <c r="U45" s="518"/>
      <c r="V45" s="518"/>
      <c r="W45" s="616">
        <f>0+3+4+3+0+0+0+1+2+0+2+1</f>
        <v>16</v>
      </c>
      <c r="X45" s="617"/>
      <c r="Y45" s="60" t="s">
        <v>101</v>
      </c>
      <c r="Z45" s="61"/>
      <c r="AA45" s="61"/>
      <c r="AB45" s="61"/>
      <c r="AC45" s="618">
        <f>0+0+0+0+1+0+0+0+0+0+0+0</f>
        <v>1</v>
      </c>
      <c r="AD45" s="619"/>
      <c r="AE45" s="527"/>
      <c r="AF45" s="528"/>
      <c r="AG45" s="6"/>
      <c r="AH45" s="16"/>
      <c r="AI45" s="541"/>
      <c r="AJ45" s="16"/>
      <c r="AK45" s="16"/>
      <c r="AL45" s="16"/>
      <c r="AM45" s="16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80"/>
      <c r="AZ45" s="80"/>
      <c r="BA45" s="14"/>
    </row>
    <row r="46" spans="1:72" s="3" customFormat="1" ht="15.6" customHeight="1" x14ac:dyDescent="0.15">
      <c r="A46" s="49"/>
      <c r="B46" s="634"/>
      <c r="C46" s="635"/>
      <c r="D46" s="517"/>
      <c r="E46" s="518"/>
      <c r="F46" s="518"/>
      <c r="G46" s="518"/>
      <c r="H46" s="59"/>
      <c r="I46" s="60"/>
      <c r="J46" s="61"/>
      <c r="K46" s="61"/>
      <c r="L46" s="61"/>
      <c r="M46" s="63"/>
      <c r="N46" s="60"/>
      <c r="O46" s="61"/>
      <c r="P46" s="61"/>
      <c r="Q46" s="510"/>
      <c r="R46" s="511"/>
      <c r="S46" s="517" t="s">
        <v>96</v>
      </c>
      <c r="T46" s="518"/>
      <c r="U46" s="518"/>
      <c r="V46" s="518"/>
      <c r="W46" s="616">
        <f>0+0+1+0+0+0+0+0+0+0+0+0</f>
        <v>1</v>
      </c>
      <c r="X46" s="617"/>
      <c r="Y46" s="60" t="s">
        <v>103</v>
      </c>
      <c r="Z46" s="61"/>
      <c r="AA46" s="61"/>
      <c r="AB46" s="61"/>
      <c r="AC46" s="618">
        <f>1+5+1+1+3+2+0+2+0+2+1+1</f>
        <v>19</v>
      </c>
      <c r="AD46" s="619"/>
      <c r="AE46" s="527"/>
      <c r="AF46" s="528"/>
      <c r="AG46" s="6"/>
      <c r="AH46" s="16"/>
      <c r="AI46" s="541"/>
      <c r="AJ46" s="16"/>
      <c r="AK46" s="16"/>
      <c r="AL46" s="16"/>
      <c r="AM46" s="16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80"/>
      <c r="AZ46" s="80"/>
      <c r="BA46" s="14"/>
    </row>
    <row r="47" spans="1:72" s="3" customFormat="1" ht="15.6" customHeight="1" x14ac:dyDescent="0.15">
      <c r="A47" s="49"/>
      <c r="B47" s="634"/>
      <c r="C47" s="635"/>
      <c r="D47" s="517"/>
      <c r="E47" s="518"/>
      <c r="F47" s="518"/>
      <c r="G47" s="518"/>
      <c r="H47" s="59"/>
      <c r="I47" s="60"/>
      <c r="J47" s="61"/>
      <c r="K47" s="61"/>
      <c r="L47" s="61"/>
      <c r="M47" s="63"/>
      <c r="N47" s="60"/>
      <c r="O47" s="61"/>
      <c r="P47" s="61"/>
      <c r="Q47" s="510"/>
      <c r="R47" s="511"/>
      <c r="S47" s="517" t="s">
        <v>80</v>
      </c>
      <c r="T47" s="518"/>
      <c r="U47" s="518"/>
      <c r="V47" s="518"/>
      <c r="W47" s="616">
        <f>12+14+8+14+16+16+14+26+16+16+19+27</f>
        <v>198</v>
      </c>
      <c r="X47" s="617"/>
      <c r="Y47" s="60" t="s">
        <v>104</v>
      </c>
      <c r="Z47" s="61"/>
      <c r="AA47" s="61"/>
      <c r="AB47" s="61"/>
      <c r="AC47" s="618">
        <f>0+0+0+1+0+1+0+0+0+0+0+0</f>
        <v>2</v>
      </c>
      <c r="AD47" s="619"/>
      <c r="AE47" s="527"/>
      <c r="AF47" s="528"/>
      <c r="AG47" s="6"/>
      <c r="AH47" s="16"/>
      <c r="AI47" s="16"/>
      <c r="AJ47" s="16"/>
      <c r="AK47" s="16"/>
      <c r="AL47" s="16"/>
      <c r="AM47" s="16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80"/>
      <c r="AZ47" s="80"/>
      <c r="BA47" s="14"/>
    </row>
    <row r="48" spans="1:72" s="3" customFormat="1" ht="15.6" customHeight="1" x14ac:dyDescent="0.15">
      <c r="A48" s="49"/>
      <c r="B48" s="634"/>
      <c r="C48" s="635"/>
      <c r="D48" s="517"/>
      <c r="E48" s="518"/>
      <c r="F48" s="518"/>
      <c r="G48" s="518"/>
      <c r="H48" s="59"/>
      <c r="I48" s="60"/>
      <c r="J48" s="61"/>
      <c r="K48" s="61"/>
      <c r="L48" s="61"/>
      <c r="M48" s="63"/>
      <c r="N48" s="60"/>
      <c r="O48" s="61"/>
      <c r="P48" s="61"/>
      <c r="Q48" s="510"/>
      <c r="R48" s="511"/>
      <c r="S48" s="517" t="s">
        <v>102</v>
      </c>
      <c r="T48" s="518"/>
      <c r="U48" s="518"/>
      <c r="V48" s="518"/>
      <c r="W48" s="616">
        <f>0+0+0+0+1+1+0+1+0+1+2+3</f>
        <v>9</v>
      </c>
      <c r="X48" s="617"/>
      <c r="Y48" s="60" t="s">
        <v>105</v>
      </c>
      <c r="Z48" s="61"/>
      <c r="AA48" s="61"/>
      <c r="AB48" s="61"/>
      <c r="AC48" s="618">
        <f>2+4+7+1+4+10+4+4+3+3+4+5</f>
        <v>51</v>
      </c>
      <c r="AD48" s="619"/>
      <c r="AE48" s="527"/>
      <c r="AF48" s="528"/>
      <c r="AG48" s="6"/>
      <c r="AH48" s="16"/>
      <c r="AI48" s="16"/>
      <c r="AJ48" s="16"/>
      <c r="AK48" s="16"/>
      <c r="AL48" s="16"/>
      <c r="AM48" s="16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80"/>
      <c r="AZ48" s="80"/>
      <c r="BA48" s="14"/>
    </row>
    <row r="49" spans="1:53" s="3" customFormat="1" ht="15.6" customHeight="1" x14ac:dyDescent="0.15">
      <c r="A49" s="49"/>
      <c r="B49" s="636"/>
      <c r="C49" s="637"/>
      <c r="D49" s="628"/>
      <c r="E49" s="629"/>
      <c r="F49" s="629"/>
      <c r="G49" s="629"/>
      <c r="H49" s="64"/>
      <c r="I49" s="65"/>
      <c r="J49" s="66"/>
      <c r="K49" s="66"/>
      <c r="L49" s="66"/>
      <c r="M49" s="67"/>
      <c r="N49" s="65"/>
      <c r="O49" s="66"/>
      <c r="P49" s="66"/>
      <c r="Q49" s="66"/>
      <c r="R49" s="67"/>
      <c r="S49" s="512" t="s">
        <v>24</v>
      </c>
      <c r="T49" s="513"/>
      <c r="U49" s="513"/>
      <c r="V49" s="513"/>
      <c r="W49" s="630">
        <f>1+3+1+1+2+2+2+2+2+3+5+2</f>
        <v>26</v>
      </c>
      <c r="X49" s="631"/>
      <c r="Y49" s="65" t="s">
        <v>24</v>
      </c>
      <c r="Z49" s="68"/>
      <c r="AA49" s="66"/>
      <c r="AB49" s="66"/>
      <c r="AC49" s="630">
        <f>5+0+2+8+1+4+1+2+4+5+4+2</f>
        <v>38</v>
      </c>
      <c r="AD49" s="631"/>
      <c r="AE49" s="525"/>
      <c r="AF49" s="526"/>
      <c r="AG49" s="8"/>
      <c r="AH49" s="16"/>
      <c r="AI49" s="16"/>
      <c r="AJ49" s="16"/>
      <c r="AK49" s="16"/>
      <c r="AL49" s="16"/>
      <c r="AM49" s="16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80"/>
      <c r="AZ49" s="80"/>
      <c r="BA49" s="14"/>
    </row>
    <row r="50" spans="1:53" s="3" customFormat="1" ht="15.6" customHeight="1" x14ac:dyDescent="0.15">
      <c r="A50" s="49"/>
      <c r="B50" s="535"/>
      <c r="C50" s="535"/>
      <c r="D50" s="528"/>
      <c r="E50" s="528"/>
      <c r="F50" s="528"/>
      <c r="G50" s="528"/>
      <c r="H50" s="528"/>
      <c r="I50" s="528"/>
      <c r="J50" s="528"/>
      <c r="K50" s="528"/>
      <c r="L50" s="528"/>
      <c r="M50" s="528"/>
      <c r="N50" s="528"/>
      <c r="O50" s="528"/>
      <c r="P50" s="539"/>
      <c r="Q50" s="539"/>
      <c r="R50" s="535"/>
      <c r="S50" s="528"/>
      <c r="T50" s="528"/>
      <c r="U50" s="528"/>
      <c r="V50" s="528"/>
      <c r="W50" s="536"/>
      <c r="X50" s="536"/>
      <c r="Y50" s="539"/>
      <c r="Z50" s="37"/>
      <c r="AA50" s="539"/>
      <c r="AB50" s="539"/>
      <c r="AC50" s="536"/>
      <c r="AD50" s="536"/>
      <c r="AE50" s="528"/>
      <c r="AF50" s="528"/>
      <c r="AG50" s="528"/>
      <c r="AH50" s="16"/>
      <c r="AI50" s="16"/>
      <c r="AJ50" s="16"/>
      <c r="AK50" s="16"/>
      <c r="AL50" s="16"/>
      <c r="AM50" s="16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80"/>
      <c r="AZ50" s="80"/>
      <c r="BA50" s="14"/>
    </row>
    <row r="51" spans="1:53" s="3" customFormat="1" ht="15.6" customHeight="1" x14ac:dyDescent="0.15">
      <c r="A51" s="49"/>
      <c r="B51" s="535"/>
      <c r="C51" s="535"/>
      <c r="D51" s="528"/>
      <c r="E51" s="528"/>
      <c r="F51" s="528"/>
      <c r="G51" s="528"/>
      <c r="H51" s="528"/>
      <c r="I51" s="528"/>
      <c r="J51" s="528"/>
      <c r="K51" s="528"/>
      <c r="L51" s="528"/>
      <c r="M51" s="528"/>
      <c r="N51" s="528"/>
      <c r="O51" s="528"/>
      <c r="P51" s="539"/>
      <c r="Q51" s="539"/>
      <c r="R51" s="535"/>
      <c r="S51" s="528"/>
      <c r="T51" s="528"/>
      <c r="U51" s="528"/>
      <c r="V51" s="528"/>
      <c r="W51" s="536"/>
      <c r="X51" s="536"/>
      <c r="Y51" s="539"/>
      <c r="Z51" s="37"/>
      <c r="AA51" s="539"/>
      <c r="AB51" s="539"/>
      <c r="AC51" s="536"/>
      <c r="AD51" s="536"/>
      <c r="AE51" s="528"/>
      <c r="AF51" s="528"/>
      <c r="AG51" s="528"/>
      <c r="AH51" s="16"/>
      <c r="AI51" s="16"/>
      <c r="AJ51" s="16"/>
      <c r="AK51" s="16"/>
      <c r="AL51" s="16"/>
      <c r="AM51" s="16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80"/>
      <c r="AZ51" s="80"/>
      <c r="BA51" s="14"/>
    </row>
    <row r="52" spans="1:53" s="3" customFormat="1" ht="15.6" customHeight="1" x14ac:dyDescent="0.15">
      <c r="A52" s="49"/>
      <c r="B52" s="535"/>
      <c r="C52" s="535"/>
      <c r="D52" s="528"/>
      <c r="E52" s="528"/>
      <c r="F52" s="528"/>
      <c r="G52" s="528"/>
      <c r="H52" s="528"/>
      <c r="I52" s="528"/>
      <c r="J52" s="528"/>
      <c r="K52" s="528"/>
      <c r="L52" s="528"/>
      <c r="M52" s="528"/>
      <c r="N52" s="528"/>
      <c r="O52" s="528"/>
      <c r="P52" s="539"/>
      <c r="Q52" s="539"/>
      <c r="R52" s="535"/>
      <c r="S52" s="528"/>
      <c r="T52" s="528"/>
      <c r="U52" s="528"/>
      <c r="V52" s="528"/>
      <c r="W52" s="536"/>
      <c r="X52" s="536"/>
      <c r="Y52" s="539"/>
      <c r="Z52" s="37"/>
      <c r="AA52" s="539"/>
      <c r="AB52" s="539"/>
      <c r="AC52" s="536"/>
      <c r="AD52" s="536"/>
      <c r="AE52" s="528"/>
      <c r="AF52" s="528"/>
      <c r="AG52" s="528"/>
      <c r="AH52" s="16"/>
      <c r="AI52" s="16"/>
      <c r="AJ52" s="16"/>
      <c r="AK52" s="16"/>
      <c r="AL52" s="16"/>
      <c r="AM52" s="16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80"/>
      <c r="AZ52" s="80"/>
      <c r="BA52" s="14"/>
    </row>
    <row r="53" spans="1:53" s="3" customFormat="1" ht="15.6" customHeight="1" x14ac:dyDescent="0.15">
      <c r="A53" s="49"/>
      <c r="B53" s="535"/>
      <c r="C53" s="535"/>
      <c r="D53" s="528"/>
      <c r="E53" s="528"/>
      <c r="F53" s="528"/>
      <c r="G53" s="528"/>
      <c r="H53" s="528"/>
      <c r="I53" s="528"/>
      <c r="J53" s="528"/>
      <c r="K53" s="528"/>
      <c r="L53" s="528"/>
      <c r="M53" s="528"/>
      <c r="N53" s="528"/>
      <c r="O53" s="528"/>
      <c r="P53" s="539"/>
      <c r="Q53" s="539"/>
      <c r="R53" s="535"/>
      <c r="S53" s="528"/>
      <c r="T53" s="528"/>
      <c r="U53" s="528"/>
      <c r="V53" s="528"/>
      <c r="W53" s="536"/>
      <c r="X53" s="536"/>
      <c r="Y53" s="539"/>
      <c r="Z53" s="37"/>
      <c r="AA53" s="539"/>
      <c r="AB53" s="539"/>
      <c r="AC53" s="536"/>
      <c r="AD53" s="536"/>
      <c r="AE53" s="528"/>
      <c r="AF53" s="528"/>
      <c r="AG53" s="528"/>
      <c r="AH53" s="16"/>
      <c r="AI53" s="16"/>
      <c r="AJ53" s="16"/>
      <c r="AK53" s="16"/>
      <c r="AL53" s="16"/>
      <c r="AM53" s="16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80"/>
      <c r="AZ53" s="80"/>
      <c r="BA53" s="14"/>
    </row>
    <row r="54" spans="1:53" s="3" customFormat="1" ht="15.6" customHeight="1" x14ac:dyDescent="0.15">
      <c r="A54" s="49"/>
      <c r="B54" s="535"/>
      <c r="C54" s="535"/>
      <c r="D54" s="528"/>
      <c r="E54" s="528"/>
      <c r="F54" s="528"/>
      <c r="G54" s="528"/>
      <c r="H54" s="528"/>
      <c r="I54" s="528"/>
      <c r="J54" s="528"/>
      <c r="K54" s="528"/>
      <c r="L54" s="528"/>
      <c r="M54" s="528"/>
      <c r="N54" s="528"/>
      <c r="O54" s="528"/>
      <c r="P54" s="539"/>
      <c r="Q54" s="539"/>
      <c r="R54" s="535"/>
      <c r="S54" s="528"/>
      <c r="T54" s="528"/>
      <c r="U54" s="528"/>
      <c r="V54" s="528"/>
      <c r="W54" s="536"/>
      <c r="X54" s="536"/>
      <c r="Y54" s="539"/>
      <c r="Z54" s="37"/>
      <c r="AA54" s="539"/>
      <c r="AB54" s="539"/>
      <c r="AC54" s="536"/>
      <c r="AD54" s="536"/>
      <c r="AE54" s="528"/>
      <c r="AF54" s="528"/>
      <c r="AG54" s="528"/>
      <c r="AH54" s="16"/>
      <c r="AI54" s="16"/>
      <c r="AJ54" s="16"/>
      <c r="AK54" s="16"/>
      <c r="AL54" s="16"/>
      <c r="AM54" s="16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80"/>
      <c r="AZ54" s="80"/>
      <c r="BA54" s="14"/>
    </row>
    <row r="55" spans="1:53" s="3" customFormat="1" ht="15.6" customHeight="1" x14ac:dyDescent="0.15">
      <c r="A55" s="50" t="s">
        <v>125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80"/>
      <c r="AZ55" s="80"/>
      <c r="BA55" s="14"/>
    </row>
    <row r="56" spans="1:53" s="3" customFormat="1" ht="15.6" customHeight="1" x14ac:dyDescent="0.15">
      <c r="A56" s="54"/>
      <c r="B56" s="644" t="s">
        <v>25</v>
      </c>
      <c r="C56" s="645"/>
      <c r="D56" s="645"/>
      <c r="E56" s="646"/>
      <c r="F56" s="647" t="s">
        <v>26</v>
      </c>
      <c r="G56" s="647"/>
      <c r="H56" s="647"/>
      <c r="I56" s="647"/>
      <c r="J56" s="647" t="s">
        <v>83</v>
      </c>
      <c r="K56" s="647"/>
      <c r="L56" s="647"/>
      <c r="M56" s="647"/>
      <c r="N56" s="647" t="s">
        <v>27</v>
      </c>
      <c r="O56" s="647"/>
      <c r="P56" s="647"/>
      <c r="Q56" s="647"/>
      <c r="R56" s="647" t="s">
        <v>84</v>
      </c>
      <c r="S56" s="647"/>
      <c r="T56" s="647"/>
      <c r="U56" s="647"/>
      <c r="V56" s="647" t="s">
        <v>85</v>
      </c>
      <c r="W56" s="647"/>
      <c r="X56" s="647"/>
      <c r="Y56" s="647"/>
      <c r="Z56" s="647" t="s">
        <v>28</v>
      </c>
      <c r="AA56" s="647"/>
      <c r="AB56" s="647"/>
      <c r="AC56" s="647"/>
      <c r="AD56" s="644" t="s">
        <v>29</v>
      </c>
      <c r="AE56" s="645"/>
      <c r="AF56" s="645"/>
      <c r="AG56" s="646"/>
      <c r="AH56" s="16"/>
      <c r="AI56" s="16"/>
      <c r="AJ56" s="16"/>
      <c r="AK56" s="16"/>
      <c r="AL56" s="16"/>
      <c r="AM56" s="16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80"/>
      <c r="AZ56" s="80"/>
      <c r="BA56" s="14"/>
    </row>
    <row r="57" spans="1:53" s="14" customFormat="1" ht="15.6" customHeight="1" x14ac:dyDescent="0.15">
      <c r="B57" s="655" t="s">
        <v>226</v>
      </c>
      <c r="C57" s="656"/>
      <c r="D57" s="656"/>
      <c r="E57" s="657"/>
      <c r="F57" s="650" t="s">
        <v>9</v>
      </c>
      <c r="G57" s="651"/>
      <c r="H57" s="651"/>
      <c r="I57" s="652"/>
      <c r="J57" s="638">
        <f>1286+3</f>
        <v>1289</v>
      </c>
      <c r="K57" s="639"/>
      <c r="L57" s="639"/>
      <c r="M57" s="640"/>
      <c r="N57" s="638">
        <v>105</v>
      </c>
      <c r="O57" s="639"/>
      <c r="P57" s="639"/>
      <c r="Q57" s="640"/>
      <c r="R57" s="638">
        <v>384</v>
      </c>
      <c r="S57" s="639"/>
      <c r="T57" s="639"/>
      <c r="U57" s="640"/>
      <c r="V57" s="638">
        <v>288</v>
      </c>
      <c r="W57" s="639"/>
      <c r="X57" s="639"/>
      <c r="Y57" s="640"/>
      <c r="Z57" s="638">
        <f>508+1</f>
        <v>509</v>
      </c>
      <c r="AA57" s="639"/>
      <c r="AB57" s="639"/>
      <c r="AC57" s="640"/>
      <c r="AD57" s="638">
        <f>SUM(J57:AC57)</f>
        <v>2575</v>
      </c>
      <c r="AE57" s="639"/>
      <c r="AF57" s="639"/>
      <c r="AG57" s="640"/>
      <c r="AQ57" s="85"/>
      <c r="AR57" s="85"/>
      <c r="AY57" s="80"/>
      <c r="AZ57" s="80"/>
    </row>
    <row r="58" spans="1:53" s="14" customFormat="1" ht="15.6" customHeight="1" x14ac:dyDescent="0.15">
      <c r="B58" s="658"/>
      <c r="C58" s="659"/>
      <c r="D58" s="659"/>
      <c r="E58" s="660"/>
      <c r="F58" s="664" t="s">
        <v>30</v>
      </c>
      <c r="G58" s="665"/>
      <c r="H58" s="665"/>
      <c r="I58" s="666"/>
      <c r="J58" s="661">
        <v>0.5</v>
      </c>
      <c r="K58" s="662"/>
      <c r="L58" s="662"/>
      <c r="M58" s="663"/>
      <c r="N58" s="661">
        <f t="shared" ref="N58" si="1">N57/$AD$57</f>
        <v>4.0776699029126215E-2</v>
      </c>
      <c r="O58" s="662"/>
      <c r="P58" s="662"/>
      <c r="Q58" s="663"/>
      <c r="R58" s="661">
        <f t="shared" ref="R58" si="2">R57/$AD$57</f>
        <v>0.14912621359223302</v>
      </c>
      <c r="S58" s="662"/>
      <c r="T58" s="662"/>
      <c r="U58" s="663"/>
      <c r="V58" s="661">
        <f t="shared" ref="V58" si="3">V57/$AD$57</f>
        <v>0.11184466019417476</v>
      </c>
      <c r="W58" s="662"/>
      <c r="X58" s="662"/>
      <c r="Y58" s="663"/>
      <c r="Z58" s="661">
        <f t="shared" ref="Z58" si="4">Z57/$AD$57</f>
        <v>0.19766990291262135</v>
      </c>
      <c r="AA58" s="662"/>
      <c r="AB58" s="662"/>
      <c r="AC58" s="663"/>
      <c r="AD58" s="661">
        <v>1</v>
      </c>
      <c r="AE58" s="662"/>
      <c r="AF58" s="662"/>
      <c r="AG58" s="663"/>
      <c r="AJ58" s="84"/>
      <c r="AQ58" s="653"/>
      <c r="AR58" s="654"/>
      <c r="AY58" s="80"/>
      <c r="AZ58" s="80"/>
    </row>
    <row r="59" spans="1:53" s="14" customFormat="1" ht="15.6" customHeight="1" x14ac:dyDescent="0.15">
      <c r="B59" s="655" t="s">
        <v>166</v>
      </c>
      <c r="C59" s="656"/>
      <c r="D59" s="656"/>
      <c r="E59" s="657"/>
      <c r="F59" s="650" t="s">
        <v>9</v>
      </c>
      <c r="G59" s="651"/>
      <c r="H59" s="651"/>
      <c r="I59" s="652"/>
      <c r="J59" s="638">
        <v>1290</v>
      </c>
      <c r="K59" s="639"/>
      <c r="L59" s="639"/>
      <c r="M59" s="640"/>
      <c r="N59" s="638">
        <v>116</v>
      </c>
      <c r="O59" s="639"/>
      <c r="P59" s="639"/>
      <c r="Q59" s="640"/>
      <c r="R59" s="638">
        <v>367</v>
      </c>
      <c r="S59" s="639"/>
      <c r="T59" s="639"/>
      <c r="U59" s="640"/>
      <c r="V59" s="638">
        <v>275</v>
      </c>
      <c r="W59" s="639"/>
      <c r="X59" s="639"/>
      <c r="Y59" s="640"/>
      <c r="Z59" s="638">
        <v>516</v>
      </c>
      <c r="AA59" s="639"/>
      <c r="AB59" s="639"/>
      <c r="AC59" s="640"/>
      <c r="AD59" s="638">
        <f>SUM(J59:AC59)</f>
        <v>2564</v>
      </c>
      <c r="AE59" s="639"/>
      <c r="AF59" s="639"/>
      <c r="AG59" s="640"/>
      <c r="AJ59" s="84"/>
      <c r="AQ59" s="654"/>
      <c r="AR59" s="654"/>
      <c r="AY59" s="80"/>
      <c r="AZ59" s="80"/>
    </row>
    <row r="60" spans="1:53" s="14" customFormat="1" ht="15.6" customHeight="1" x14ac:dyDescent="0.15">
      <c r="B60" s="658"/>
      <c r="C60" s="659"/>
      <c r="D60" s="659"/>
      <c r="E60" s="660"/>
      <c r="F60" s="664" t="s">
        <v>30</v>
      </c>
      <c r="G60" s="665"/>
      <c r="H60" s="665"/>
      <c r="I60" s="666"/>
      <c r="J60" s="661">
        <v>0.50312012480499224</v>
      </c>
      <c r="K60" s="662"/>
      <c r="L60" s="662"/>
      <c r="M60" s="663"/>
      <c r="N60" s="661">
        <v>4.5241809672386897E-2</v>
      </c>
      <c r="O60" s="662"/>
      <c r="P60" s="662"/>
      <c r="Q60" s="663"/>
      <c r="R60" s="661">
        <v>0.14313572542901717</v>
      </c>
      <c r="S60" s="662"/>
      <c r="T60" s="662"/>
      <c r="U60" s="663"/>
      <c r="V60" s="661">
        <v>0.10725429017160687</v>
      </c>
      <c r="W60" s="662"/>
      <c r="X60" s="662"/>
      <c r="Y60" s="663"/>
      <c r="Z60" s="661">
        <v>0.20200000000000001</v>
      </c>
      <c r="AA60" s="662"/>
      <c r="AB60" s="662"/>
      <c r="AC60" s="663"/>
      <c r="AD60" s="661">
        <v>1</v>
      </c>
      <c r="AE60" s="662"/>
      <c r="AF60" s="662"/>
      <c r="AG60" s="663"/>
      <c r="AJ60" s="84"/>
      <c r="AQ60" s="654"/>
      <c r="AR60" s="654"/>
      <c r="AY60" s="80"/>
      <c r="AZ60" s="80"/>
    </row>
    <row r="61" spans="1:53" s="14" customFormat="1" ht="15.6" customHeight="1" x14ac:dyDescent="0.15">
      <c r="A61" s="16"/>
      <c r="B61" s="667" t="s">
        <v>31</v>
      </c>
      <c r="C61" s="668"/>
      <c r="D61" s="668"/>
      <c r="E61" s="669"/>
      <c r="F61" s="673" t="s">
        <v>9</v>
      </c>
      <c r="G61" s="673"/>
      <c r="H61" s="673"/>
      <c r="I61" s="673"/>
      <c r="J61" s="674">
        <f>J57-J59</f>
        <v>-1</v>
      </c>
      <c r="K61" s="674"/>
      <c r="L61" s="674"/>
      <c r="M61" s="674"/>
      <c r="N61" s="674">
        <f>N57-N59</f>
        <v>-11</v>
      </c>
      <c r="O61" s="674"/>
      <c r="P61" s="674"/>
      <c r="Q61" s="674"/>
      <c r="R61" s="674">
        <f>R57-R59</f>
        <v>17</v>
      </c>
      <c r="S61" s="674"/>
      <c r="T61" s="674"/>
      <c r="U61" s="674"/>
      <c r="V61" s="674">
        <f>V57-V59</f>
        <v>13</v>
      </c>
      <c r="W61" s="674"/>
      <c r="X61" s="674"/>
      <c r="Y61" s="674"/>
      <c r="Z61" s="674">
        <f>Z57-Z59</f>
        <v>-7</v>
      </c>
      <c r="AA61" s="674"/>
      <c r="AB61" s="674"/>
      <c r="AC61" s="674"/>
      <c r="AD61" s="675">
        <f>SUM(J61:AC61)</f>
        <v>11</v>
      </c>
      <c r="AE61" s="676"/>
      <c r="AF61" s="676"/>
      <c r="AG61" s="677"/>
      <c r="AH61" s="16"/>
      <c r="AI61" s="16"/>
      <c r="AJ61" s="16"/>
      <c r="AK61" s="16"/>
      <c r="AL61" s="16"/>
      <c r="AM61" s="16"/>
      <c r="AQ61" s="654"/>
      <c r="AR61" s="654"/>
      <c r="AY61" s="80"/>
      <c r="AZ61" s="80"/>
    </row>
    <row r="62" spans="1:53" s="14" customFormat="1" ht="15.6" customHeight="1" x14ac:dyDescent="0.15">
      <c r="A62" s="16"/>
      <c r="B62" s="670"/>
      <c r="C62" s="671"/>
      <c r="D62" s="671"/>
      <c r="E62" s="672"/>
      <c r="F62" s="692" t="s">
        <v>32</v>
      </c>
      <c r="G62" s="692"/>
      <c r="H62" s="692"/>
      <c r="I62" s="692"/>
      <c r="J62" s="693">
        <f>J57/J59</f>
        <v>0.99922480620155041</v>
      </c>
      <c r="K62" s="693"/>
      <c r="L62" s="693"/>
      <c r="M62" s="693"/>
      <c r="N62" s="693">
        <f>N57/N59</f>
        <v>0.90517241379310343</v>
      </c>
      <c r="O62" s="693"/>
      <c r="P62" s="693"/>
      <c r="Q62" s="693"/>
      <c r="R62" s="693">
        <f>R57/R59</f>
        <v>1.0463215258855585</v>
      </c>
      <c r="S62" s="693"/>
      <c r="T62" s="693"/>
      <c r="U62" s="693"/>
      <c r="V62" s="693">
        <f>V57/V59</f>
        <v>1.0472727272727274</v>
      </c>
      <c r="W62" s="693"/>
      <c r="X62" s="693"/>
      <c r="Y62" s="693"/>
      <c r="Z62" s="693">
        <f>Z57/Z59</f>
        <v>0.98643410852713176</v>
      </c>
      <c r="AA62" s="693"/>
      <c r="AB62" s="693"/>
      <c r="AC62" s="693"/>
      <c r="AD62" s="694">
        <f>AD57/AD59</f>
        <v>1.0042901716068642</v>
      </c>
      <c r="AE62" s="695"/>
      <c r="AF62" s="695"/>
      <c r="AG62" s="696"/>
      <c r="AH62" s="16"/>
      <c r="AI62" s="16"/>
      <c r="AJ62" s="16"/>
      <c r="AK62" s="16"/>
      <c r="AL62" s="16"/>
      <c r="AM62" s="16"/>
      <c r="AQ62" s="654"/>
      <c r="AR62" s="654"/>
      <c r="AY62" s="80"/>
      <c r="AZ62" s="80"/>
    </row>
    <row r="63" spans="1:53" s="3" customFormat="1" ht="15.6" customHeight="1" x14ac:dyDescent="0.15">
      <c r="A63" s="49"/>
      <c r="B63" s="535"/>
      <c r="C63" s="535"/>
      <c r="D63" s="528"/>
      <c r="E63" s="528"/>
      <c r="F63" s="528"/>
      <c r="G63" s="528"/>
      <c r="H63" s="524"/>
      <c r="I63" s="539"/>
      <c r="J63" s="539"/>
      <c r="K63" s="539"/>
      <c r="L63" s="539"/>
      <c r="M63" s="535"/>
      <c r="N63" s="539"/>
      <c r="O63" s="539"/>
      <c r="P63" s="539"/>
      <c r="Q63" s="539"/>
      <c r="R63" s="535"/>
      <c r="S63" s="528"/>
      <c r="T63" s="528"/>
      <c r="U63" s="528"/>
      <c r="V63" s="528"/>
      <c r="W63" s="536"/>
      <c r="X63" s="536"/>
      <c r="Y63" s="539"/>
      <c r="Z63" s="37"/>
      <c r="AA63" s="539"/>
      <c r="AB63" s="539"/>
      <c r="AC63" s="536"/>
      <c r="AD63" s="536"/>
      <c r="AE63" s="528"/>
      <c r="AF63" s="528"/>
      <c r="AG63" s="528"/>
      <c r="AH63" s="16"/>
      <c r="AI63" s="16"/>
      <c r="AJ63" s="16"/>
      <c r="AK63" s="16"/>
      <c r="AL63" s="16"/>
      <c r="AM63" s="16"/>
      <c r="AN63" s="14"/>
      <c r="AO63" s="14"/>
      <c r="AP63" s="14"/>
      <c r="AQ63" s="654"/>
      <c r="AR63" s="654"/>
      <c r="AS63" s="14"/>
      <c r="AT63" s="14"/>
      <c r="AU63" s="14"/>
      <c r="AV63" s="14"/>
      <c r="AW63" s="14"/>
      <c r="AX63" s="14"/>
      <c r="AY63" s="80"/>
      <c r="AZ63" s="80"/>
      <c r="BA63" s="14"/>
    </row>
    <row r="64" spans="1:53" s="3" customFormat="1" ht="15.6" customHeight="1" x14ac:dyDescent="0.15">
      <c r="A64" s="56" t="s">
        <v>110</v>
      </c>
      <c r="B64" s="332"/>
      <c r="C64" s="332"/>
      <c r="D64" s="332"/>
      <c r="E64" s="332"/>
      <c r="F64" s="332"/>
      <c r="G64" s="333" t="s">
        <v>142</v>
      </c>
      <c r="H64" s="334"/>
      <c r="I64" s="334"/>
      <c r="J64" s="334"/>
      <c r="K64" s="334"/>
      <c r="L64" s="334"/>
      <c r="M64" s="334"/>
      <c r="N64" s="334"/>
      <c r="O64" s="36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519" t="s">
        <v>40</v>
      </c>
      <c r="AH64" s="16"/>
      <c r="AI64" s="16"/>
      <c r="AJ64" s="16"/>
      <c r="AK64" s="16"/>
      <c r="AL64" s="16"/>
      <c r="AM64" s="16"/>
      <c r="AN64" s="16"/>
      <c r="AO64" s="16"/>
      <c r="AP64" s="16"/>
      <c r="AQ64" s="654"/>
      <c r="AR64" s="654"/>
      <c r="AS64" s="16"/>
      <c r="AT64" s="16"/>
      <c r="AU64" s="16"/>
      <c r="AV64" s="14"/>
      <c r="AW64" s="14"/>
      <c r="AX64" s="14"/>
      <c r="AY64" s="80"/>
      <c r="AZ64" s="80"/>
      <c r="BA64" s="14"/>
    </row>
    <row r="65" spans="1:53" s="3" customFormat="1" ht="15.6" customHeight="1" x14ac:dyDescent="0.15">
      <c r="A65" s="49"/>
      <c r="B65" s="678" t="s">
        <v>25</v>
      </c>
      <c r="C65" s="679"/>
      <c r="D65" s="680"/>
      <c r="E65" s="684" t="s">
        <v>41</v>
      </c>
      <c r="F65" s="685"/>
      <c r="G65" s="686"/>
      <c r="H65" s="684" t="s">
        <v>42</v>
      </c>
      <c r="I65" s="685"/>
      <c r="J65" s="686"/>
      <c r="K65" s="684" t="s">
        <v>43</v>
      </c>
      <c r="L65" s="685"/>
      <c r="M65" s="690" t="s">
        <v>44</v>
      </c>
      <c r="N65" s="690"/>
      <c r="O65" s="690" t="s">
        <v>45</v>
      </c>
      <c r="P65" s="690"/>
      <c r="Q65" s="690"/>
      <c r="R65" s="684" t="s">
        <v>46</v>
      </c>
      <c r="S65" s="686"/>
      <c r="T65" s="684" t="s">
        <v>47</v>
      </c>
      <c r="U65" s="686"/>
      <c r="V65" s="690" t="s">
        <v>48</v>
      </c>
      <c r="W65" s="690"/>
      <c r="X65" s="690" t="s">
        <v>112</v>
      </c>
      <c r="Y65" s="690"/>
      <c r="Z65" s="684" t="s">
        <v>113</v>
      </c>
      <c r="AA65" s="685"/>
      <c r="AB65" s="686"/>
      <c r="AC65" s="697" t="s">
        <v>128</v>
      </c>
      <c r="AD65" s="698"/>
      <c r="AE65" s="684" t="s">
        <v>82</v>
      </c>
      <c r="AF65" s="685"/>
      <c r="AG65" s="686"/>
      <c r="AH65" s="16"/>
      <c r="AI65" s="16"/>
      <c r="AJ65" s="16"/>
      <c r="AK65" s="16"/>
      <c r="AL65" s="16"/>
      <c r="AM65" s="16"/>
      <c r="AN65" s="16"/>
      <c r="AO65" s="16"/>
      <c r="AP65" s="16"/>
      <c r="AQ65" s="654"/>
      <c r="AR65" s="654"/>
      <c r="AS65" s="16"/>
      <c r="AT65" s="16"/>
      <c r="AU65" s="16"/>
      <c r="AV65" s="14"/>
      <c r="AW65" s="14"/>
      <c r="AX65" s="14"/>
      <c r="AY65" s="80"/>
      <c r="AZ65" s="80"/>
      <c r="BA65" s="14"/>
    </row>
    <row r="66" spans="1:53" s="3" customFormat="1" ht="15.6" customHeight="1" x14ac:dyDescent="0.15">
      <c r="A66" s="49"/>
      <c r="B66" s="681"/>
      <c r="C66" s="682"/>
      <c r="D66" s="683"/>
      <c r="E66" s="687"/>
      <c r="F66" s="688"/>
      <c r="G66" s="689"/>
      <c r="H66" s="687"/>
      <c r="I66" s="688"/>
      <c r="J66" s="689"/>
      <c r="K66" s="687"/>
      <c r="L66" s="688"/>
      <c r="M66" s="691"/>
      <c r="N66" s="691"/>
      <c r="O66" s="691"/>
      <c r="P66" s="691"/>
      <c r="Q66" s="691"/>
      <c r="R66" s="687"/>
      <c r="S66" s="689"/>
      <c r="T66" s="687"/>
      <c r="U66" s="689"/>
      <c r="V66" s="691"/>
      <c r="W66" s="691"/>
      <c r="X66" s="691"/>
      <c r="Y66" s="691"/>
      <c r="Z66" s="687"/>
      <c r="AA66" s="688"/>
      <c r="AB66" s="689"/>
      <c r="AC66" s="699"/>
      <c r="AD66" s="700"/>
      <c r="AE66" s="687"/>
      <c r="AF66" s="688"/>
      <c r="AG66" s="689"/>
      <c r="AH66" s="16"/>
      <c r="AI66" s="16"/>
      <c r="AJ66" s="16"/>
      <c r="AK66" s="16"/>
      <c r="AL66" s="16"/>
      <c r="AM66" s="16"/>
      <c r="AN66" s="16"/>
      <c r="AO66" s="16"/>
      <c r="AP66" s="16"/>
      <c r="AQ66" s="654"/>
      <c r="AR66" s="654"/>
      <c r="AS66" s="16"/>
      <c r="AT66" s="16"/>
      <c r="AU66" s="16"/>
      <c r="AV66" s="14"/>
      <c r="AW66" s="14"/>
      <c r="AX66" s="14"/>
      <c r="AY66" s="80"/>
      <c r="AZ66" s="80"/>
      <c r="BA66" s="14"/>
    </row>
    <row r="67" spans="1:53" s="14" customFormat="1" ht="15.6" customHeight="1" x14ac:dyDescent="0.15">
      <c r="A67" s="541"/>
      <c r="B67" s="701" t="s">
        <v>86</v>
      </c>
      <c r="C67" s="702"/>
      <c r="D67" s="703"/>
      <c r="E67" s="667">
        <v>2246</v>
      </c>
      <c r="F67" s="668"/>
      <c r="G67" s="669"/>
      <c r="H67" s="667">
        <v>2340</v>
      </c>
      <c r="I67" s="668"/>
      <c r="J67" s="669"/>
      <c r="K67" s="667">
        <v>122</v>
      </c>
      <c r="L67" s="668"/>
      <c r="M67" s="673">
        <v>607</v>
      </c>
      <c r="N67" s="673"/>
      <c r="O67" s="673">
        <v>2157</v>
      </c>
      <c r="P67" s="673"/>
      <c r="Q67" s="673"/>
      <c r="R67" s="667">
        <v>1</v>
      </c>
      <c r="S67" s="669"/>
      <c r="T67" s="667">
        <v>71</v>
      </c>
      <c r="U67" s="669"/>
      <c r="V67" s="673">
        <v>12</v>
      </c>
      <c r="W67" s="673"/>
      <c r="X67" s="715">
        <v>10</v>
      </c>
      <c r="Y67" s="715"/>
      <c r="Z67" s="717">
        <v>1</v>
      </c>
      <c r="AA67" s="718"/>
      <c r="AB67" s="719"/>
      <c r="AC67" s="717">
        <v>1</v>
      </c>
      <c r="AD67" s="719"/>
      <c r="AE67" s="667">
        <f>SUM(E67:AD68)</f>
        <v>7568</v>
      </c>
      <c r="AF67" s="668"/>
      <c r="AG67" s="669"/>
      <c r="AH67" s="541"/>
      <c r="AI67" s="541"/>
      <c r="AJ67" s="541"/>
      <c r="AK67" s="541"/>
      <c r="AL67" s="541"/>
      <c r="AM67" s="541"/>
      <c r="AN67" s="541"/>
      <c r="AO67" s="541"/>
      <c r="AP67" s="541"/>
      <c r="AQ67" s="654"/>
      <c r="AR67" s="654"/>
      <c r="AS67" s="541"/>
      <c r="AT67" s="541"/>
      <c r="AU67" s="541"/>
      <c r="AY67" s="80"/>
      <c r="AZ67" s="80"/>
    </row>
    <row r="68" spans="1:53" s="14" customFormat="1" ht="15.6" customHeight="1" x14ac:dyDescent="0.15">
      <c r="A68" s="541"/>
      <c r="B68" s="711"/>
      <c r="C68" s="712"/>
      <c r="D68" s="713"/>
      <c r="E68" s="670"/>
      <c r="F68" s="671"/>
      <c r="G68" s="672"/>
      <c r="H68" s="670"/>
      <c r="I68" s="671"/>
      <c r="J68" s="672"/>
      <c r="K68" s="670"/>
      <c r="L68" s="671"/>
      <c r="M68" s="714"/>
      <c r="N68" s="714"/>
      <c r="O68" s="714"/>
      <c r="P68" s="714"/>
      <c r="Q68" s="714"/>
      <c r="R68" s="670"/>
      <c r="S68" s="672"/>
      <c r="T68" s="670"/>
      <c r="U68" s="672"/>
      <c r="V68" s="714"/>
      <c r="W68" s="714"/>
      <c r="X68" s="726"/>
      <c r="Y68" s="726"/>
      <c r="Z68" s="727"/>
      <c r="AA68" s="728"/>
      <c r="AB68" s="729"/>
      <c r="AC68" s="727"/>
      <c r="AD68" s="729"/>
      <c r="AE68" s="670"/>
      <c r="AF68" s="671"/>
      <c r="AG68" s="672"/>
      <c r="AH68" s="541"/>
      <c r="AI68" s="541"/>
      <c r="AJ68" s="541"/>
      <c r="AK68" s="541"/>
      <c r="AL68" s="541"/>
      <c r="AM68" s="541"/>
      <c r="AN68" s="541"/>
      <c r="AO68" s="541"/>
      <c r="AP68" s="541"/>
      <c r="AQ68" s="654"/>
      <c r="AR68" s="654"/>
      <c r="AS68" s="541"/>
      <c r="AT68" s="541"/>
      <c r="AU68" s="541"/>
      <c r="AY68" s="80"/>
      <c r="AZ68" s="80"/>
    </row>
    <row r="69" spans="1:53" s="14" customFormat="1" ht="15.6" customHeight="1" x14ac:dyDescent="0.15">
      <c r="A69" s="541"/>
      <c r="B69" s="701" t="s">
        <v>87</v>
      </c>
      <c r="C69" s="702"/>
      <c r="D69" s="703"/>
      <c r="E69" s="667">
        <v>2865</v>
      </c>
      <c r="F69" s="668"/>
      <c r="G69" s="669"/>
      <c r="H69" s="667">
        <v>2958</v>
      </c>
      <c r="I69" s="668"/>
      <c r="J69" s="669"/>
      <c r="K69" s="667">
        <v>184</v>
      </c>
      <c r="L69" s="668"/>
      <c r="M69" s="673">
        <v>630</v>
      </c>
      <c r="N69" s="673"/>
      <c r="O69" s="673">
        <v>2647</v>
      </c>
      <c r="P69" s="673"/>
      <c r="Q69" s="673"/>
      <c r="R69" s="667">
        <v>1</v>
      </c>
      <c r="S69" s="669"/>
      <c r="T69" s="667">
        <v>89</v>
      </c>
      <c r="U69" s="669"/>
      <c r="V69" s="673">
        <v>12</v>
      </c>
      <c r="W69" s="673"/>
      <c r="X69" s="715">
        <v>10</v>
      </c>
      <c r="Y69" s="715"/>
      <c r="Z69" s="717">
        <v>1</v>
      </c>
      <c r="AA69" s="718"/>
      <c r="AB69" s="719"/>
      <c r="AC69" s="717">
        <v>1</v>
      </c>
      <c r="AD69" s="719"/>
      <c r="AE69" s="723">
        <f>SUM(E69:AC70)</f>
        <v>9398</v>
      </c>
      <c r="AF69" s="724"/>
      <c r="AG69" s="725"/>
      <c r="AH69" s="541"/>
      <c r="AI69" s="541"/>
      <c r="AJ69" s="541"/>
      <c r="AK69" s="541"/>
      <c r="AL69" s="541"/>
      <c r="AM69" s="541"/>
      <c r="AN69" s="541"/>
      <c r="AO69" s="541"/>
      <c r="AP69" s="541"/>
      <c r="AQ69" s="86"/>
      <c r="AR69" s="86"/>
      <c r="AS69" s="541"/>
      <c r="AT69" s="541"/>
      <c r="AU69" s="541"/>
      <c r="AY69" s="80"/>
      <c r="AZ69" s="80"/>
    </row>
    <row r="70" spans="1:53" s="14" customFormat="1" ht="15.6" customHeight="1" thickBot="1" x14ac:dyDescent="0.2">
      <c r="A70" s="16"/>
      <c r="B70" s="704"/>
      <c r="C70" s="705"/>
      <c r="D70" s="706"/>
      <c r="E70" s="707"/>
      <c r="F70" s="708"/>
      <c r="G70" s="709"/>
      <c r="H70" s="707"/>
      <c r="I70" s="708"/>
      <c r="J70" s="709"/>
      <c r="K70" s="707"/>
      <c r="L70" s="708"/>
      <c r="M70" s="710"/>
      <c r="N70" s="710"/>
      <c r="O70" s="710"/>
      <c r="P70" s="710"/>
      <c r="Q70" s="710"/>
      <c r="R70" s="707"/>
      <c r="S70" s="709"/>
      <c r="T70" s="707"/>
      <c r="U70" s="709"/>
      <c r="V70" s="710"/>
      <c r="W70" s="710"/>
      <c r="X70" s="716"/>
      <c r="Y70" s="716"/>
      <c r="Z70" s="720"/>
      <c r="AA70" s="721"/>
      <c r="AB70" s="722"/>
      <c r="AC70" s="720"/>
      <c r="AD70" s="722"/>
      <c r="AE70" s="707"/>
      <c r="AF70" s="708"/>
      <c r="AG70" s="709"/>
      <c r="AH70" s="16"/>
      <c r="AI70" s="16"/>
      <c r="AJ70" s="16"/>
      <c r="AK70" s="16"/>
      <c r="AL70" s="16"/>
      <c r="AM70" s="16"/>
      <c r="AN70" s="16"/>
      <c r="AO70" s="16"/>
      <c r="AP70" s="16"/>
      <c r="AQ70" s="87"/>
      <c r="AR70" s="87"/>
      <c r="AS70" s="16"/>
      <c r="AT70" s="16"/>
      <c r="AU70" s="16"/>
      <c r="AY70" s="80"/>
      <c r="AZ70" s="80"/>
    </row>
    <row r="71" spans="1:53" s="14" customFormat="1" ht="15.6" customHeight="1" thickTop="1" x14ac:dyDescent="0.15">
      <c r="A71" s="16"/>
      <c r="B71" s="874" t="s">
        <v>204</v>
      </c>
      <c r="C71" s="875"/>
      <c r="D71" s="876"/>
      <c r="E71" s="847">
        <v>1815194</v>
      </c>
      <c r="F71" s="848"/>
      <c r="G71" s="849"/>
      <c r="H71" s="847">
        <v>1042131</v>
      </c>
      <c r="I71" s="848"/>
      <c r="J71" s="849"/>
      <c r="K71" s="847">
        <v>17140</v>
      </c>
      <c r="L71" s="848"/>
      <c r="M71" s="855">
        <v>207464</v>
      </c>
      <c r="N71" s="855"/>
      <c r="O71" s="855">
        <v>2887036</v>
      </c>
      <c r="P71" s="855"/>
      <c r="Q71" s="855"/>
      <c r="R71" s="847">
        <v>1155</v>
      </c>
      <c r="S71" s="849"/>
      <c r="T71" s="847">
        <v>11167</v>
      </c>
      <c r="U71" s="849"/>
      <c r="V71" s="855">
        <v>20551</v>
      </c>
      <c r="W71" s="855"/>
      <c r="X71" s="855">
        <v>24936</v>
      </c>
      <c r="Y71" s="855"/>
      <c r="Z71" s="847">
        <v>784</v>
      </c>
      <c r="AA71" s="848"/>
      <c r="AB71" s="849"/>
      <c r="AC71" s="870">
        <v>800</v>
      </c>
      <c r="AD71" s="871"/>
      <c r="AE71" s="847">
        <f>SUM(E71:AD72)</f>
        <v>6028358</v>
      </c>
      <c r="AF71" s="848"/>
      <c r="AG71" s="849"/>
      <c r="AH71" s="16"/>
      <c r="AI71" s="537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Y71" s="80"/>
      <c r="AZ71" s="80"/>
    </row>
    <row r="72" spans="1:53" s="14" customFormat="1" ht="15.6" customHeight="1" x14ac:dyDescent="0.15">
      <c r="A72" s="16"/>
      <c r="B72" s="877"/>
      <c r="C72" s="878"/>
      <c r="D72" s="879"/>
      <c r="E72" s="850"/>
      <c r="F72" s="851"/>
      <c r="G72" s="852"/>
      <c r="H72" s="850"/>
      <c r="I72" s="851"/>
      <c r="J72" s="852"/>
      <c r="K72" s="853"/>
      <c r="L72" s="854"/>
      <c r="M72" s="856"/>
      <c r="N72" s="856"/>
      <c r="O72" s="856"/>
      <c r="P72" s="856"/>
      <c r="Q72" s="856"/>
      <c r="R72" s="850"/>
      <c r="S72" s="852"/>
      <c r="T72" s="850"/>
      <c r="U72" s="852"/>
      <c r="V72" s="856"/>
      <c r="W72" s="856"/>
      <c r="X72" s="856"/>
      <c r="Y72" s="856"/>
      <c r="Z72" s="853"/>
      <c r="AA72" s="854"/>
      <c r="AB72" s="864"/>
      <c r="AC72" s="872"/>
      <c r="AD72" s="873"/>
      <c r="AE72" s="853"/>
      <c r="AF72" s="854"/>
      <c r="AG72" s="864"/>
      <c r="AH72" s="16"/>
      <c r="AI72" s="537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Y72" s="80"/>
      <c r="AZ72" s="80"/>
    </row>
    <row r="73" spans="1:53" s="14" customFormat="1" ht="15.6" customHeight="1" x14ac:dyDescent="0.15">
      <c r="A73" s="16"/>
      <c r="B73" s="865" t="s">
        <v>30</v>
      </c>
      <c r="C73" s="866"/>
      <c r="D73" s="867"/>
      <c r="E73" s="858">
        <v>0.30120000000000002</v>
      </c>
      <c r="F73" s="859"/>
      <c r="G73" s="860"/>
      <c r="H73" s="858">
        <f>H71/AE71</f>
        <v>0.17287145189452915</v>
      </c>
      <c r="I73" s="859"/>
      <c r="J73" s="860"/>
      <c r="K73" s="858">
        <f>K71/AE71</f>
        <v>2.8432286204634828E-3</v>
      </c>
      <c r="L73" s="860"/>
      <c r="M73" s="858">
        <f>M71/AE71</f>
        <v>3.4414678093105951E-2</v>
      </c>
      <c r="N73" s="859"/>
      <c r="O73" s="858">
        <f>O71/AE71</f>
        <v>0.47890918223502982</v>
      </c>
      <c r="P73" s="859"/>
      <c r="Q73" s="860"/>
      <c r="R73" s="868">
        <f>R71/AE71</f>
        <v>1.9159446071384612E-4</v>
      </c>
      <c r="S73" s="869"/>
      <c r="T73" s="868">
        <f>T71/AE71</f>
        <v>1.8524115522004499E-3</v>
      </c>
      <c r="U73" s="869"/>
      <c r="V73" s="857">
        <f>V71/AE71</f>
        <v>3.4090543395067113E-3</v>
      </c>
      <c r="W73" s="857"/>
      <c r="X73" s="857">
        <f>X71/AE71</f>
        <v>4.1364497596194519E-3</v>
      </c>
      <c r="Y73" s="857"/>
      <c r="Z73" s="858">
        <f>Z71/AE71</f>
        <v>1.300519975754592E-4</v>
      </c>
      <c r="AA73" s="859"/>
      <c r="AB73" s="860"/>
      <c r="AC73" s="858">
        <f>AC71/AE71</f>
        <v>1.3270611997495837E-4</v>
      </c>
      <c r="AD73" s="860"/>
      <c r="AE73" s="861">
        <v>1</v>
      </c>
      <c r="AF73" s="862"/>
      <c r="AG73" s="863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Y73" s="80"/>
      <c r="AZ73" s="80"/>
    </row>
    <row r="74" spans="1:53" s="3" customFormat="1" ht="15.6" customHeight="1" x14ac:dyDescent="0.15">
      <c r="A74" s="49"/>
      <c r="B74" s="539"/>
      <c r="C74" s="535"/>
      <c r="D74" s="535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70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4"/>
      <c r="AW74" s="14"/>
      <c r="AX74" s="14"/>
      <c r="AY74" s="80"/>
      <c r="AZ74" s="80"/>
      <c r="BA74" s="14"/>
    </row>
    <row r="75" spans="1:53" s="3" customFormat="1" ht="15.6" customHeight="1" x14ac:dyDescent="0.15">
      <c r="A75" s="50" t="s">
        <v>71</v>
      </c>
      <c r="B75" s="49"/>
      <c r="C75" s="49"/>
      <c r="D75" s="49"/>
      <c r="E75" s="49"/>
      <c r="F75" s="49"/>
      <c r="G75" s="49"/>
      <c r="H75" s="49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531" t="s">
        <v>33</v>
      </c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4"/>
      <c r="AW75" s="14"/>
      <c r="AX75" s="14"/>
      <c r="AY75" s="80"/>
      <c r="AZ75" s="80"/>
      <c r="BA75" s="14"/>
    </row>
    <row r="76" spans="1:53" s="3" customFormat="1" ht="15.6" customHeight="1" x14ac:dyDescent="0.15">
      <c r="A76" s="49"/>
      <c r="B76" s="730" t="s">
        <v>34</v>
      </c>
      <c r="C76" s="730"/>
      <c r="D76" s="730"/>
      <c r="E76" s="730"/>
      <c r="F76" s="730"/>
      <c r="G76" s="730"/>
      <c r="H76" s="730" t="s">
        <v>35</v>
      </c>
      <c r="I76" s="730"/>
      <c r="J76" s="730"/>
      <c r="K76" s="730"/>
      <c r="L76" s="730"/>
      <c r="M76" s="730"/>
      <c r="N76" s="730"/>
      <c r="O76" s="730"/>
      <c r="P76" s="730"/>
      <c r="Q76" s="730"/>
      <c r="R76" s="730"/>
      <c r="S76" s="730"/>
      <c r="T76" s="730"/>
      <c r="U76" s="730"/>
      <c r="V76" s="730"/>
      <c r="W76" s="730"/>
      <c r="X76" s="730"/>
      <c r="Y76" s="730"/>
      <c r="Z76" s="549" t="s">
        <v>36</v>
      </c>
      <c r="AA76" s="550"/>
      <c r="AB76" s="550"/>
      <c r="AC76" s="550"/>
      <c r="AD76" s="550"/>
      <c r="AE76" s="550"/>
      <c r="AF76" s="550"/>
      <c r="AG76" s="551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4"/>
      <c r="AW76" s="14"/>
      <c r="AX76" s="14"/>
      <c r="AY76" s="80"/>
      <c r="AZ76" s="80"/>
      <c r="BA76" s="14"/>
    </row>
    <row r="77" spans="1:53" s="3" customFormat="1" ht="15.6" customHeight="1" x14ac:dyDescent="0.15">
      <c r="A77" s="49"/>
      <c r="B77" s="730"/>
      <c r="C77" s="730"/>
      <c r="D77" s="730"/>
      <c r="E77" s="730"/>
      <c r="F77" s="730"/>
      <c r="G77" s="730"/>
      <c r="H77" s="730" t="s">
        <v>37</v>
      </c>
      <c r="I77" s="730"/>
      <c r="J77" s="730"/>
      <c r="K77" s="730"/>
      <c r="L77" s="730"/>
      <c r="M77" s="730"/>
      <c r="N77" s="730" t="s">
        <v>38</v>
      </c>
      <c r="O77" s="730"/>
      <c r="P77" s="730"/>
      <c r="Q77" s="730"/>
      <c r="R77" s="730"/>
      <c r="S77" s="730"/>
      <c r="T77" s="730" t="s">
        <v>39</v>
      </c>
      <c r="U77" s="730"/>
      <c r="V77" s="730"/>
      <c r="W77" s="730"/>
      <c r="X77" s="730"/>
      <c r="Y77" s="730"/>
      <c r="Z77" s="552"/>
      <c r="AA77" s="553"/>
      <c r="AB77" s="553"/>
      <c r="AC77" s="553"/>
      <c r="AD77" s="553"/>
      <c r="AE77" s="553"/>
      <c r="AF77" s="553"/>
      <c r="AG77" s="554"/>
      <c r="AH77" s="16"/>
      <c r="AI77" s="16"/>
      <c r="AJ77" s="16"/>
      <c r="AK77" s="16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80"/>
      <c r="AZ77" s="80"/>
      <c r="BA77" s="14"/>
    </row>
    <row r="78" spans="1:53" s="3" customFormat="1" ht="15.6" customHeight="1" x14ac:dyDescent="0.15">
      <c r="A78" s="49"/>
      <c r="B78" s="731" t="s">
        <v>137</v>
      </c>
      <c r="C78" s="732"/>
      <c r="D78" s="732"/>
      <c r="E78" s="732"/>
      <c r="F78" s="732"/>
      <c r="G78" s="733"/>
      <c r="H78" s="734">
        <v>5300000</v>
      </c>
      <c r="I78" s="735"/>
      <c r="J78" s="735"/>
      <c r="K78" s="735"/>
      <c r="L78" s="735"/>
      <c r="M78" s="736"/>
      <c r="N78" s="737">
        <v>346000</v>
      </c>
      <c r="O78" s="738"/>
      <c r="P78" s="738"/>
      <c r="Q78" s="738"/>
      <c r="R78" s="738"/>
      <c r="S78" s="739"/>
      <c r="T78" s="734">
        <f t="shared" ref="T78:T80" si="5">SUM(H78:S78)</f>
        <v>5646000</v>
      </c>
      <c r="U78" s="735"/>
      <c r="V78" s="735"/>
      <c r="W78" s="735"/>
      <c r="X78" s="735"/>
      <c r="Y78" s="736"/>
      <c r="Z78" s="740">
        <v>5636644</v>
      </c>
      <c r="AA78" s="741"/>
      <c r="AB78" s="741"/>
      <c r="AC78" s="741"/>
      <c r="AD78" s="741"/>
      <c r="AE78" s="741"/>
      <c r="AF78" s="741"/>
      <c r="AG78" s="742"/>
      <c r="AH78" s="16"/>
      <c r="AI78" s="16"/>
      <c r="AJ78" s="16"/>
      <c r="AK78" s="16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80"/>
      <c r="AZ78" s="80"/>
      <c r="BA78" s="14"/>
    </row>
    <row r="79" spans="1:53" s="3" customFormat="1" ht="15.6" customHeight="1" x14ac:dyDescent="0.15">
      <c r="A79" s="49"/>
      <c r="B79" s="731" t="s">
        <v>138</v>
      </c>
      <c r="C79" s="732"/>
      <c r="D79" s="732"/>
      <c r="E79" s="732"/>
      <c r="F79" s="732"/>
      <c r="G79" s="733"/>
      <c r="H79" s="734">
        <v>5310000</v>
      </c>
      <c r="I79" s="735"/>
      <c r="J79" s="735"/>
      <c r="K79" s="735"/>
      <c r="L79" s="735"/>
      <c r="M79" s="736"/>
      <c r="N79" s="743">
        <v>197000</v>
      </c>
      <c r="O79" s="744"/>
      <c r="P79" s="744"/>
      <c r="Q79" s="744"/>
      <c r="R79" s="744"/>
      <c r="S79" s="745"/>
      <c r="T79" s="734">
        <f t="shared" si="5"/>
        <v>5507000</v>
      </c>
      <c r="U79" s="735"/>
      <c r="V79" s="735"/>
      <c r="W79" s="735"/>
      <c r="X79" s="735"/>
      <c r="Y79" s="736"/>
      <c r="Z79" s="734">
        <v>5500325</v>
      </c>
      <c r="AA79" s="735"/>
      <c r="AB79" s="735"/>
      <c r="AC79" s="735"/>
      <c r="AD79" s="735"/>
      <c r="AE79" s="735"/>
      <c r="AF79" s="735"/>
      <c r="AG79" s="736"/>
      <c r="AH79" s="16"/>
      <c r="AI79" s="16"/>
      <c r="AJ79" s="16"/>
      <c r="AK79" s="16"/>
      <c r="AL79" s="16"/>
      <c r="AM79" s="16"/>
      <c r="AN79" s="16"/>
      <c r="AO79" s="16"/>
      <c r="AP79" s="14"/>
      <c r="AQ79" s="14"/>
      <c r="AR79" s="14"/>
      <c r="AS79" s="14"/>
      <c r="AT79" s="14"/>
      <c r="AU79" s="14"/>
      <c r="AV79" s="14"/>
      <c r="AW79" s="14"/>
      <c r="AX79" s="14"/>
      <c r="AY79" s="80"/>
      <c r="AZ79" s="80"/>
      <c r="BA79" s="14"/>
    </row>
    <row r="80" spans="1:53" s="3" customFormat="1" ht="15.6" customHeight="1" x14ac:dyDescent="0.15">
      <c r="A80" s="49"/>
      <c r="B80" s="746" t="s">
        <v>132</v>
      </c>
      <c r="C80" s="746"/>
      <c r="D80" s="746"/>
      <c r="E80" s="746"/>
      <c r="F80" s="746"/>
      <c r="G80" s="746"/>
      <c r="H80" s="747">
        <v>5510000</v>
      </c>
      <c r="I80" s="748"/>
      <c r="J80" s="748"/>
      <c r="K80" s="748"/>
      <c r="L80" s="748"/>
      <c r="M80" s="749"/>
      <c r="N80" s="743">
        <v>388000</v>
      </c>
      <c r="O80" s="744"/>
      <c r="P80" s="744"/>
      <c r="Q80" s="744"/>
      <c r="R80" s="744"/>
      <c r="S80" s="745"/>
      <c r="T80" s="747">
        <f t="shared" si="5"/>
        <v>5898000</v>
      </c>
      <c r="U80" s="748"/>
      <c r="V80" s="748"/>
      <c r="W80" s="748"/>
      <c r="X80" s="748"/>
      <c r="Y80" s="749"/>
      <c r="Z80" s="747">
        <v>5894929</v>
      </c>
      <c r="AA80" s="748"/>
      <c r="AB80" s="748"/>
      <c r="AC80" s="748"/>
      <c r="AD80" s="748"/>
      <c r="AE80" s="748"/>
      <c r="AF80" s="748"/>
      <c r="AG80" s="749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4"/>
      <c r="AW80" s="14"/>
      <c r="AX80" s="14"/>
      <c r="AY80" s="80"/>
      <c r="AZ80" s="80"/>
      <c r="BA80" s="14"/>
    </row>
    <row r="81" spans="1:54" s="14" customFormat="1" ht="15.6" customHeight="1" x14ac:dyDescent="0.15">
      <c r="A81" s="16"/>
      <c r="B81" s="746" t="s">
        <v>145</v>
      </c>
      <c r="C81" s="746"/>
      <c r="D81" s="746"/>
      <c r="E81" s="746"/>
      <c r="F81" s="746"/>
      <c r="G81" s="746"/>
      <c r="H81" s="747">
        <v>5596000</v>
      </c>
      <c r="I81" s="748"/>
      <c r="J81" s="748"/>
      <c r="K81" s="748"/>
      <c r="L81" s="748"/>
      <c r="M81" s="749"/>
      <c r="N81" s="743">
        <v>448000</v>
      </c>
      <c r="O81" s="744"/>
      <c r="P81" s="744"/>
      <c r="Q81" s="744"/>
      <c r="R81" s="744"/>
      <c r="S81" s="745"/>
      <c r="T81" s="747">
        <f>SUM(H81:S81)</f>
        <v>6044000</v>
      </c>
      <c r="U81" s="748"/>
      <c r="V81" s="748"/>
      <c r="W81" s="748"/>
      <c r="X81" s="748"/>
      <c r="Y81" s="749"/>
      <c r="Z81" s="747">
        <v>6030198</v>
      </c>
      <c r="AA81" s="748"/>
      <c r="AB81" s="748"/>
      <c r="AC81" s="748"/>
      <c r="AD81" s="748"/>
      <c r="AE81" s="748"/>
      <c r="AF81" s="748"/>
      <c r="AG81" s="749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Y81" s="80"/>
      <c r="AZ81" s="80"/>
    </row>
    <row r="82" spans="1:54" s="14" customFormat="1" ht="15.6" customHeight="1" x14ac:dyDescent="0.15">
      <c r="A82" s="16"/>
      <c r="B82" s="746" t="s">
        <v>177</v>
      </c>
      <c r="C82" s="746"/>
      <c r="D82" s="746"/>
      <c r="E82" s="746"/>
      <c r="F82" s="746"/>
      <c r="G82" s="746"/>
      <c r="H82" s="747">
        <v>5894929</v>
      </c>
      <c r="I82" s="748"/>
      <c r="J82" s="748"/>
      <c r="K82" s="748"/>
      <c r="L82" s="748"/>
      <c r="M82" s="749"/>
      <c r="N82" s="743">
        <v>213071</v>
      </c>
      <c r="O82" s="744"/>
      <c r="P82" s="744"/>
      <c r="Q82" s="744"/>
      <c r="R82" s="744"/>
      <c r="S82" s="745"/>
      <c r="T82" s="747">
        <f>SUM(H82:S82)</f>
        <v>6108000</v>
      </c>
      <c r="U82" s="748"/>
      <c r="V82" s="748"/>
      <c r="W82" s="748"/>
      <c r="X82" s="748"/>
      <c r="Y82" s="749"/>
      <c r="Z82" s="844"/>
      <c r="AA82" s="845"/>
      <c r="AB82" s="845"/>
      <c r="AC82" s="845"/>
      <c r="AD82" s="845"/>
      <c r="AE82" s="845"/>
      <c r="AF82" s="845"/>
      <c r="AG82" s="84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Y82" s="80"/>
      <c r="AZ82" s="80"/>
    </row>
    <row r="83" spans="1:54" s="3" customFormat="1" ht="15.6" customHeight="1" x14ac:dyDescent="0.15">
      <c r="A83" s="49"/>
      <c r="B83" s="535"/>
      <c r="C83" s="535"/>
      <c r="D83" s="535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4"/>
      <c r="AW83" s="14"/>
      <c r="AX83" s="14"/>
      <c r="AY83" s="80"/>
      <c r="AZ83" s="80"/>
      <c r="BA83" s="14"/>
    </row>
    <row r="84" spans="1:54" s="1" customFormat="1" ht="15.6" customHeight="1" x14ac:dyDescent="0.15">
      <c r="A84" s="49" t="s">
        <v>49</v>
      </c>
      <c r="B84" s="49"/>
      <c r="C84" s="49"/>
      <c r="D84" s="49"/>
      <c r="E84" s="49"/>
      <c r="F84" s="49"/>
      <c r="G84" s="49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54" t="s">
        <v>88</v>
      </c>
      <c r="AB84" s="49"/>
      <c r="AC84" s="49"/>
      <c r="AD84" s="49"/>
      <c r="AE84" s="49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3"/>
      <c r="AW84" s="13"/>
      <c r="AX84" s="13"/>
      <c r="AY84" s="886"/>
      <c r="AZ84" s="886"/>
      <c r="BA84" s="13"/>
    </row>
    <row r="85" spans="1:54" s="1" customFormat="1" ht="15.6" customHeight="1" x14ac:dyDescent="0.15">
      <c r="A85" s="49"/>
      <c r="B85" s="730" t="s">
        <v>78</v>
      </c>
      <c r="C85" s="730"/>
      <c r="D85" s="730"/>
      <c r="E85" s="730"/>
      <c r="F85" s="730"/>
      <c r="G85" s="751" t="s">
        <v>127</v>
      </c>
      <c r="H85" s="752"/>
      <c r="I85" s="752"/>
      <c r="J85" s="752"/>
      <c r="K85" s="753"/>
      <c r="L85" s="751" t="s">
        <v>138</v>
      </c>
      <c r="M85" s="752"/>
      <c r="N85" s="752"/>
      <c r="O85" s="752"/>
      <c r="P85" s="753"/>
      <c r="Q85" s="751" t="s">
        <v>132</v>
      </c>
      <c r="R85" s="752"/>
      <c r="S85" s="752"/>
      <c r="T85" s="752"/>
      <c r="U85" s="753"/>
      <c r="V85" s="754" t="s">
        <v>145</v>
      </c>
      <c r="W85" s="730"/>
      <c r="X85" s="730"/>
      <c r="Y85" s="730"/>
      <c r="Z85" s="730"/>
      <c r="AA85" s="754" t="s">
        <v>177</v>
      </c>
      <c r="AB85" s="730"/>
      <c r="AC85" s="730"/>
      <c r="AD85" s="730"/>
      <c r="AE85" s="730"/>
      <c r="AF85" s="16"/>
      <c r="AG85" s="16"/>
      <c r="AH85" s="16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886"/>
      <c r="AZ85" s="886"/>
      <c r="BA85" s="13"/>
    </row>
    <row r="86" spans="1:54" s="1" customFormat="1" ht="15.6" customHeight="1" x14ac:dyDescent="0.15">
      <c r="A86" s="49"/>
      <c r="B86" s="756" t="s">
        <v>77</v>
      </c>
      <c r="C86" s="756"/>
      <c r="D86" s="756"/>
      <c r="E86" s="756"/>
      <c r="F86" s="756"/>
      <c r="G86" s="757">
        <f>990+98</f>
        <v>1088</v>
      </c>
      <c r="H86" s="758"/>
      <c r="I86" s="758"/>
      <c r="J86" s="758"/>
      <c r="K86" s="759"/>
      <c r="L86" s="757">
        <v>1174</v>
      </c>
      <c r="M86" s="758"/>
      <c r="N86" s="758"/>
      <c r="O86" s="758"/>
      <c r="P86" s="759"/>
      <c r="Q86" s="757">
        <v>1207</v>
      </c>
      <c r="R86" s="758"/>
      <c r="S86" s="758"/>
      <c r="T86" s="758"/>
      <c r="U86" s="759"/>
      <c r="V86" s="763">
        <v>1103</v>
      </c>
      <c r="W86" s="763"/>
      <c r="X86" s="763"/>
      <c r="Y86" s="763"/>
      <c r="Z86" s="763"/>
      <c r="AA86" s="764">
        <f>77+122+80+81+103+93+102+107+85+89+108+118</f>
        <v>1165</v>
      </c>
      <c r="AB86" s="764"/>
      <c r="AC86" s="764"/>
      <c r="AD86" s="764"/>
      <c r="AE86" s="764"/>
      <c r="AF86" s="16"/>
      <c r="AG86" s="16"/>
      <c r="AH86" s="16"/>
      <c r="AI86" s="755"/>
      <c r="AJ86" s="755"/>
      <c r="AK86" s="755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886"/>
      <c r="AZ86" s="886"/>
      <c r="BA86" s="13"/>
    </row>
    <row r="87" spans="1:54" s="1" customFormat="1" ht="15.6" customHeight="1" x14ac:dyDescent="0.15">
      <c r="A87" s="49"/>
      <c r="B87" s="756" t="s">
        <v>76</v>
      </c>
      <c r="C87" s="756"/>
      <c r="D87" s="756"/>
      <c r="E87" s="756"/>
      <c r="F87" s="756"/>
      <c r="G87" s="757">
        <v>91</v>
      </c>
      <c r="H87" s="758"/>
      <c r="I87" s="758"/>
      <c r="J87" s="758"/>
      <c r="K87" s="759"/>
      <c r="L87" s="757">
        <f>L86/12</f>
        <v>97.833333333333329</v>
      </c>
      <c r="M87" s="758"/>
      <c r="N87" s="758"/>
      <c r="O87" s="758"/>
      <c r="P87" s="759"/>
      <c r="Q87" s="757">
        <f>Q86/12</f>
        <v>100.58333333333333</v>
      </c>
      <c r="R87" s="758"/>
      <c r="S87" s="758"/>
      <c r="T87" s="758"/>
      <c r="U87" s="759"/>
      <c r="V87" s="757">
        <f>V86/12</f>
        <v>91.916666666666671</v>
      </c>
      <c r="W87" s="758"/>
      <c r="X87" s="758"/>
      <c r="Y87" s="758"/>
      <c r="Z87" s="759"/>
      <c r="AA87" s="760">
        <f>AA86/12</f>
        <v>97.083333333333329</v>
      </c>
      <c r="AB87" s="761"/>
      <c r="AC87" s="761"/>
      <c r="AD87" s="761"/>
      <c r="AE87" s="762"/>
      <c r="AF87" s="16"/>
      <c r="AG87" s="16"/>
      <c r="AH87" s="16"/>
      <c r="AI87" s="889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886"/>
      <c r="AZ87" s="886"/>
      <c r="BA87" s="13"/>
    </row>
    <row r="88" spans="1:54" s="1" customFormat="1" ht="15.6" customHeight="1" x14ac:dyDescent="0.15">
      <c r="A88" s="49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886"/>
      <c r="AZ88" s="886"/>
      <c r="BA88" s="13"/>
    </row>
    <row r="89" spans="1:54" s="1" customFormat="1" ht="15.6" customHeight="1" x14ac:dyDescent="0.15">
      <c r="A89" s="50" t="s">
        <v>63</v>
      </c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16"/>
      <c r="U89" s="16"/>
      <c r="V89" s="16"/>
      <c r="W89" s="16"/>
      <c r="X89" s="16"/>
      <c r="Y89" s="16"/>
      <c r="AA89" s="514" t="s">
        <v>88</v>
      </c>
      <c r="AB89" s="514"/>
      <c r="AC89" s="514"/>
      <c r="AD89" s="514"/>
      <c r="AE89" s="514"/>
      <c r="AF89" s="16"/>
      <c r="AG89" s="16"/>
      <c r="AH89" s="16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886"/>
      <c r="AZ89" s="886"/>
      <c r="BA89" s="13"/>
    </row>
    <row r="90" spans="1:54" s="1" customFormat="1" ht="15.6" customHeight="1" x14ac:dyDescent="0.15">
      <c r="A90" s="49"/>
      <c r="B90" s="765" t="s">
        <v>70</v>
      </c>
      <c r="C90" s="766"/>
      <c r="D90" s="767"/>
      <c r="E90" s="765" t="s">
        <v>50</v>
      </c>
      <c r="F90" s="766"/>
      <c r="G90" s="766"/>
      <c r="H90" s="766"/>
      <c r="I90" s="767"/>
      <c r="J90" s="751" t="s">
        <v>133</v>
      </c>
      <c r="K90" s="752"/>
      <c r="L90" s="752"/>
      <c r="M90" s="752"/>
      <c r="N90" s="752"/>
      <c r="O90" s="752"/>
      <c r="P90" s="752"/>
      <c r="Q90" s="753"/>
      <c r="R90" s="751" t="s">
        <v>146</v>
      </c>
      <c r="S90" s="752"/>
      <c r="T90" s="752"/>
      <c r="U90" s="752"/>
      <c r="V90" s="752"/>
      <c r="W90" s="752"/>
      <c r="X90" s="752"/>
      <c r="Y90" s="753"/>
      <c r="Z90" s="751" t="s">
        <v>178</v>
      </c>
      <c r="AA90" s="752"/>
      <c r="AB90" s="752"/>
      <c r="AC90" s="752"/>
      <c r="AD90" s="752"/>
      <c r="AE90" s="752"/>
      <c r="AF90" s="752"/>
      <c r="AG90" s="753"/>
      <c r="AH90" s="16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886"/>
      <c r="AZ90" s="886"/>
      <c r="BA90" s="13"/>
    </row>
    <row r="91" spans="1:54" s="1" customFormat="1" ht="15.6" customHeight="1" x14ac:dyDescent="0.15">
      <c r="A91" s="49"/>
      <c r="B91" s="785"/>
      <c r="C91" s="786"/>
      <c r="D91" s="787"/>
      <c r="E91" s="785"/>
      <c r="F91" s="786"/>
      <c r="G91" s="786"/>
      <c r="H91" s="786"/>
      <c r="I91" s="787"/>
      <c r="J91" s="788" t="s">
        <v>51</v>
      </c>
      <c r="K91" s="788"/>
      <c r="L91" s="788"/>
      <c r="M91" s="788"/>
      <c r="N91" s="765" t="s">
        <v>30</v>
      </c>
      <c r="O91" s="766"/>
      <c r="P91" s="766"/>
      <c r="Q91" s="767"/>
      <c r="R91" s="788" t="s">
        <v>51</v>
      </c>
      <c r="S91" s="788"/>
      <c r="T91" s="788"/>
      <c r="U91" s="788"/>
      <c r="V91" s="765" t="s">
        <v>30</v>
      </c>
      <c r="W91" s="766"/>
      <c r="X91" s="766"/>
      <c r="Y91" s="767"/>
      <c r="Z91" s="788" t="s">
        <v>51</v>
      </c>
      <c r="AA91" s="788"/>
      <c r="AB91" s="788"/>
      <c r="AC91" s="788"/>
      <c r="AD91" s="765" t="s">
        <v>30</v>
      </c>
      <c r="AE91" s="766"/>
      <c r="AF91" s="766"/>
      <c r="AG91" s="767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3"/>
      <c r="AW91" s="13"/>
      <c r="AX91" s="13"/>
      <c r="AY91" s="886"/>
      <c r="AZ91" s="886"/>
      <c r="BA91" s="13"/>
    </row>
    <row r="92" spans="1:54" s="1" customFormat="1" ht="15.6" customHeight="1" x14ac:dyDescent="0.15">
      <c r="A92" s="52"/>
      <c r="B92" s="768" t="s">
        <v>74</v>
      </c>
      <c r="C92" s="769"/>
      <c r="D92" s="770"/>
      <c r="E92" s="777" t="s">
        <v>52</v>
      </c>
      <c r="F92" s="777"/>
      <c r="G92" s="777"/>
      <c r="H92" s="777"/>
      <c r="I92" s="777"/>
      <c r="J92" s="778">
        <v>193</v>
      </c>
      <c r="K92" s="778"/>
      <c r="L92" s="778"/>
      <c r="M92" s="778"/>
      <c r="N92" s="779">
        <f>J92/SUM(J92:M96)</f>
        <v>0.15990057995028997</v>
      </c>
      <c r="O92" s="779"/>
      <c r="P92" s="779"/>
      <c r="Q92" s="779"/>
      <c r="R92" s="780">
        <v>206</v>
      </c>
      <c r="S92" s="778"/>
      <c r="T92" s="778"/>
      <c r="U92" s="778"/>
      <c r="V92" s="779">
        <f>R92/V86</f>
        <v>0.18676337262012693</v>
      </c>
      <c r="W92" s="779"/>
      <c r="X92" s="779"/>
      <c r="Y92" s="779"/>
      <c r="Z92" s="781">
        <f>13+27+18+18+18+12+14+24+16+24+19+23</f>
        <v>226</v>
      </c>
      <c r="AA92" s="782"/>
      <c r="AB92" s="782"/>
      <c r="AC92" s="782"/>
      <c r="AD92" s="783">
        <f>Z92/AA86</f>
        <v>0.19399141630901287</v>
      </c>
      <c r="AE92" s="783"/>
      <c r="AF92" s="783"/>
      <c r="AG92" s="783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3"/>
      <c r="AW92" s="13"/>
      <c r="AX92" s="13"/>
      <c r="AY92" s="890"/>
      <c r="AZ92" s="890"/>
      <c r="BA92" s="13"/>
    </row>
    <row r="93" spans="1:54" s="1" customFormat="1" ht="15.6" customHeight="1" x14ac:dyDescent="0.15">
      <c r="A93" s="52"/>
      <c r="B93" s="771"/>
      <c r="C93" s="772"/>
      <c r="D93" s="773"/>
      <c r="E93" s="784" t="s">
        <v>53</v>
      </c>
      <c r="F93" s="784"/>
      <c r="G93" s="784"/>
      <c r="H93" s="784"/>
      <c r="I93" s="784"/>
      <c r="J93" s="790">
        <v>600</v>
      </c>
      <c r="K93" s="790"/>
      <c r="L93" s="790"/>
      <c r="M93" s="790"/>
      <c r="N93" s="791">
        <f>J93/SUM(J92:M96)</f>
        <v>0.4971002485501243</v>
      </c>
      <c r="O93" s="791"/>
      <c r="P93" s="791"/>
      <c r="Q93" s="791"/>
      <c r="R93" s="792">
        <v>391</v>
      </c>
      <c r="S93" s="790"/>
      <c r="T93" s="790"/>
      <c r="U93" s="790"/>
      <c r="V93" s="793">
        <f>R93/V86</f>
        <v>0.35448776065276516</v>
      </c>
      <c r="W93" s="794"/>
      <c r="X93" s="794"/>
      <c r="Y93" s="795"/>
      <c r="Z93" s="796">
        <f>42+50+26+32+39+40+51+37+36+36+57+47</f>
        <v>493</v>
      </c>
      <c r="AA93" s="797"/>
      <c r="AB93" s="797"/>
      <c r="AC93" s="797"/>
      <c r="AD93" s="783">
        <f>Z93/AA86</f>
        <v>0.42317596566523608</v>
      </c>
      <c r="AE93" s="783"/>
      <c r="AF93" s="783"/>
      <c r="AG93" s="783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3"/>
      <c r="AW93" s="13"/>
      <c r="AX93" s="13"/>
      <c r="AY93" s="890"/>
      <c r="AZ93" s="890"/>
      <c r="BA93" s="13"/>
    </row>
    <row r="94" spans="1:54" s="1" customFormat="1" ht="15.6" customHeight="1" x14ac:dyDescent="0.15">
      <c r="A94" s="52"/>
      <c r="B94" s="771"/>
      <c r="C94" s="772"/>
      <c r="D94" s="773"/>
      <c r="E94" s="784" t="s">
        <v>54</v>
      </c>
      <c r="F94" s="784"/>
      <c r="G94" s="784"/>
      <c r="H94" s="784"/>
      <c r="I94" s="784"/>
      <c r="J94" s="790">
        <v>20</v>
      </c>
      <c r="K94" s="790"/>
      <c r="L94" s="790"/>
      <c r="M94" s="790"/>
      <c r="N94" s="791">
        <f>J94/SUM(J92:M96)</f>
        <v>1.6570008285004142E-2</v>
      </c>
      <c r="O94" s="791"/>
      <c r="P94" s="791"/>
      <c r="Q94" s="791"/>
      <c r="R94" s="792">
        <v>15</v>
      </c>
      <c r="S94" s="790"/>
      <c r="T94" s="790"/>
      <c r="U94" s="790"/>
      <c r="V94" s="793">
        <f>R94/V86</f>
        <v>1.3599274705349048E-2</v>
      </c>
      <c r="W94" s="794"/>
      <c r="X94" s="794"/>
      <c r="Y94" s="795"/>
      <c r="Z94" s="796">
        <f>2+0+4+0+0+0+1+0+2+1+0+1</f>
        <v>11</v>
      </c>
      <c r="AA94" s="797"/>
      <c r="AB94" s="797"/>
      <c r="AC94" s="797"/>
      <c r="AD94" s="783">
        <v>0.01</v>
      </c>
      <c r="AE94" s="783"/>
      <c r="AF94" s="783"/>
      <c r="AG94" s="783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3"/>
      <c r="AW94" s="13"/>
      <c r="AX94" s="13"/>
      <c r="AY94" s="890"/>
      <c r="AZ94" s="890"/>
      <c r="BA94" s="13"/>
    </row>
    <row r="95" spans="1:54" s="1" customFormat="1" ht="15.6" customHeight="1" x14ac:dyDescent="0.15">
      <c r="A95" s="52"/>
      <c r="B95" s="771"/>
      <c r="C95" s="772"/>
      <c r="D95" s="773"/>
      <c r="E95" s="798" t="s">
        <v>55</v>
      </c>
      <c r="F95" s="798"/>
      <c r="G95" s="798"/>
      <c r="H95" s="798"/>
      <c r="I95" s="798"/>
      <c r="J95" s="790">
        <v>0</v>
      </c>
      <c r="K95" s="790"/>
      <c r="L95" s="790"/>
      <c r="M95" s="790"/>
      <c r="N95" s="791">
        <f>J95/SUM(J92:M96)</f>
        <v>0</v>
      </c>
      <c r="O95" s="791"/>
      <c r="P95" s="791"/>
      <c r="Q95" s="791"/>
      <c r="R95" s="792">
        <v>0</v>
      </c>
      <c r="S95" s="790"/>
      <c r="T95" s="790"/>
      <c r="U95" s="790"/>
      <c r="V95" s="793">
        <v>0</v>
      </c>
      <c r="W95" s="794"/>
      <c r="X95" s="794"/>
      <c r="Y95" s="795"/>
      <c r="Z95" s="796">
        <f>0+0+0+0+0+0+0+0+0+0+0+0</f>
        <v>0</v>
      </c>
      <c r="AA95" s="797"/>
      <c r="AB95" s="797"/>
      <c r="AC95" s="797"/>
      <c r="AD95" s="783">
        <v>0</v>
      </c>
      <c r="AE95" s="783"/>
      <c r="AF95" s="783"/>
      <c r="AG95" s="783"/>
      <c r="AH95" s="13"/>
      <c r="AI95" s="16"/>
      <c r="AJ95" s="16"/>
      <c r="AK95" s="799"/>
      <c r="AL95" s="799"/>
      <c r="AM95" s="799"/>
      <c r="AN95" s="13"/>
      <c r="AO95" s="13"/>
      <c r="AP95" s="72"/>
      <c r="AQ95" s="72"/>
      <c r="AR95" s="72"/>
      <c r="AS95" s="72"/>
      <c r="AT95" s="72"/>
      <c r="AU95" s="72"/>
      <c r="AV95" s="72"/>
      <c r="AW95" s="72"/>
      <c r="AX95" s="72"/>
      <c r="AY95" s="890"/>
      <c r="AZ95" s="890"/>
      <c r="BA95" s="72"/>
    </row>
    <row r="96" spans="1:54" s="1" customFormat="1" ht="15.6" customHeight="1" x14ac:dyDescent="0.15">
      <c r="A96" s="52"/>
      <c r="B96" s="774"/>
      <c r="C96" s="775"/>
      <c r="D96" s="776"/>
      <c r="E96" s="805" t="s">
        <v>56</v>
      </c>
      <c r="F96" s="805"/>
      <c r="G96" s="805"/>
      <c r="H96" s="805"/>
      <c r="I96" s="805"/>
      <c r="J96" s="806">
        <v>394</v>
      </c>
      <c r="K96" s="806"/>
      <c r="L96" s="806"/>
      <c r="M96" s="806"/>
      <c r="N96" s="807">
        <v>0.32600000000000001</v>
      </c>
      <c r="O96" s="807"/>
      <c r="P96" s="807"/>
      <c r="Q96" s="807"/>
      <c r="R96" s="808">
        <v>491</v>
      </c>
      <c r="S96" s="806"/>
      <c r="T96" s="806"/>
      <c r="U96" s="806"/>
      <c r="V96" s="809">
        <f>R96/V86</f>
        <v>0.44514959202175886</v>
      </c>
      <c r="W96" s="810"/>
      <c r="X96" s="810"/>
      <c r="Y96" s="811"/>
      <c r="Z96" s="812">
        <f>20+45+32+31+46+41+36+46+31+28+32+47</f>
        <v>435</v>
      </c>
      <c r="AA96" s="813"/>
      <c r="AB96" s="813"/>
      <c r="AC96" s="813"/>
      <c r="AD96" s="783">
        <f>Z96/AA86</f>
        <v>0.37339055793991416</v>
      </c>
      <c r="AE96" s="783"/>
      <c r="AF96" s="783"/>
      <c r="AG96" s="783"/>
      <c r="AH96" s="13"/>
      <c r="AI96" s="13"/>
      <c r="AJ96" s="800"/>
      <c r="AK96" s="800"/>
      <c r="AL96" s="800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890"/>
      <c r="AZ96" s="890"/>
      <c r="BA96" s="801"/>
      <c r="BB96" s="801"/>
    </row>
    <row r="97" spans="1:54" s="1" customFormat="1" ht="15.6" customHeight="1" x14ac:dyDescent="0.15">
      <c r="A97" s="52"/>
      <c r="B97" s="768" t="s">
        <v>75</v>
      </c>
      <c r="C97" s="769"/>
      <c r="D97" s="770"/>
      <c r="E97" s="777" t="s">
        <v>57</v>
      </c>
      <c r="F97" s="777"/>
      <c r="G97" s="777"/>
      <c r="H97" s="777"/>
      <c r="I97" s="777"/>
      <c r="J97" s="778">
        <v>113</v>
      </c>
      <c r="K97" s="778"/>
      <c r="L97" s="778"/>
      <c r="M97" s="778"/>
      <c r="N97" s="779">
        <f>J97/SUM(J97:M100)</f>
        <v>9.3620546810273403E-2</v>
      </c>
      <c r="O97" s="779"/>
      <c r="P97" s="779"/>
      <c r="Q97" s="779"/>
      <c r="R97" s="778">
        <v>86</v>
      </c>
      <c r="S97" s="778"/>
      <c r="T97" s="778"/>
      <c r="U97" s="778"/>
      <c r="V97" s="802">
        <f>R97/SUM(R97:U100)</f>
        <v>7.7969174977334549E-2</v>
      </c>
      <c r="W97" s="803"/>
      <c r="X97" s="803"/>
      <c r="Y97" s="804"/>
      <c r="Z97" s="782">
        <f>3+16+6+5+31+7+5+5+6+7+6+9</f>
        <v>106</v>
      </c>
      <c r="AA97" s="782"/>
      <c r="AB97" s="782"/>
      <c r="AC97" s="782"/>
      <c r="AD97" s="814">
        <f>Z97/AA86</f>
        <v>9.0987124463519309E-2</v>
      </c>
      <c r="AE97" s="814"/>
      <c r="AF97" s="814"/>
      <c r="AG97" s="814"/>
      <c r="AH97" s="13"/>
      <c r="AI97" s="13"/>
      <c r="AJ97" s="13"/>
      <c r="AK97" s="799"/>
      <c r="AL97" s="799"/>
      <c r="AM97" s="799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890"/>
      <c r="AZ97" s="890"/>
      <c r="BA97" s="13"/>
    </row>
    <row r="98" spans="1:54" s="1" customFormat="1" ht="15.6" customHeight="1" x14ac:dyDescent="0.15">
      <c r="A98" s="52"/>
      <c r="B98" s="771"/>
      <c r="C98" s="772"/>
      <c r="D98" s="773"/>
      <c r="E98" s="784" t="s">
        <v>58</v>
      </c>
      <c r="F98" s="784"/>
      <c r="G98" s="784"/>
      <c r="H98" s="784"/>
      <c r="I98" s="784"/>
      <c r="J98" s="790">
        <v>62</v>
      </c>
      <c r="K98" s="790"/>
      <c r="L98" s="790"/>
      <c r="M98" s="790"/>
      <c r="N98" s="791">
        <f>J98/SUM(J97:M100)</f>
        <v>5.136702568351284E-2</v>
      </c>
      <c r="O98" s="791"/>
      <c r="P98" s="791"/>
      <c r="Q98" s="791"/>
      <c r="R98" s="790">
        <v>57</v>
      </c>
      <c r="S98" s="790"/>
      <c r="T98" s="790"/>
      <c r="U98" s="790"/>
      <c r="V98" s="793">
        <f>R98/SUM(R97:U100)</f>
        <v>5.1677243880326386E-2</v>
      </c>
      <c r="W98" s="794"/>
      <c r="X98" s="794"/>
      <c r="Y98" s="795"/>
      <c r="Z98" s="797">
        <f>2+2+7+5+4+2+5+1+2+5+9+3</f>
        <v>47</v>
      </c>
      <c r="AA98" s="797"/>
      <c r="AB98" s="797"/>
      <c r="AC98" s="797"/>
      <c r="AD98" s="783">
        <f>Z98/AA86</f>
        <v>4.034334763948498E-2</v>
      </c>
      <c r="AE98" s="783"/>
      <c r="AF98" s="783"/>
      <c r="AG98" s="78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890"/>
      <c r="AZ98" s="890"/>
      <c r="BA98" s="13"/>
    </row>
    <row r="99" spans="1:54" s="3" customFormat="1" ht="15.6" customHeight="1" x14ac:dyDescent="0.15">
      <c r="A99" s="52"/>
      <c r="B99" s="771"/>
      <c r="C99" s="772"/>
      <c r="D99" s="773"/>
      <c r="E99" s="784" t="s">
        <v>59</v>
      </c>
      <c r="F99" s="784"/>
      <c r="G99" s="784"/>
      <c r="H99" s="784"/>
      <c r="I99" s="784"/>
      <c r="J99" s="790">
        <v>341</v>
      </c>
      <c r="K99" s="790"/>
      <c r="L99" s="790"/>
      <c r="M99" s="790"/>
      <c r="N99" s="791">
        <f>J99/SUM(J97:M100)</f>
        <v>0.28251864125932064</v>
      </c>
      <c r="O99" s="791"/>
      <c r="P99" s="791"/>
      <c r="Q99" s="791"/>
      <c r="R99" s="790">
        <v>361</v>
      </c>
      <c r="S99" s="790"/>
      <c r="T99" s="790"/>
      <c r="U99" s="790"/>
      <c r="V99" s="793">
        <f>R99/SUM(R97:U100)</f>
        <v>0.32728921124206711</v>
      </c>
      <c r="W99" s="794"/>
      <c r="X99" s="794"/>
      <c r="Y99" s="795"/>
      <c r="Z99" s="797">
        <f>21+36+30+21+9+34+20+40+25+34+23+43</f>
        <v>336</v>
      </c>
      <c r="AA99" s="797"/>
      <c r="AB99" s="797"/>
      <c r="AC99" s="797"/>
      <c r="AD99" s="783">
        <v>0.28899999999999998</v>
      </c>
      <c r="AE99" s="783"/>
      <c r="AF99" s="783"/>
      <c r="AG99" s="78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4"/>
      <c r="AS99" s="14"/>
      <c r="AT99" s="14"/>
      <c r="AU99" s="14"/>
      <c r="AV99" s="14"/>
      <c r="AW99" s="14"/>
      <c r="AX99" s="14"/>
      <c r="AY99" s="890"/>
      <c r="AZ99" s="890"/>
      <c r="BA99" s="14"/>
    </row>
    <row r="100" spans="1:54" s="3" customFormat="1" ht="15.6" customHeight="1" x14ac:dyDescent="0.15">
      <c r="A100" s="52"/>
      <c r="B100" s="774"/>
      <c r="C100" s="775"/>
      <c r="D100" s="776"/>
      <c r="E100" s="805" t="s">
        <v>56</v>
      </c>
      <c r="F100" s="805"/>
      <c r="G100" s="805"/>
      <c r="H100" s="805"/>
      <c r="I100" s="805"/>
      <c r="J100" s="806">
        <v>691</v>
      </c>
      <c r="K100" s="806"/>
      <c r="L100" s="806"/>
      <c r="M100" s="806"/>
      <c r="N100" s="807">
        <f>J100/SUM(J97:M100)</f>
        <v>0.57249378624689318</v>
      </c>
      <c r="O100" s="807"/>
      <c r="P100" s="807"/>
      <c r="Q100" s="807"/>
      <c r="R100" s="806">
        <v>599</v>
      </c>
      <c r="S100" s="806"/>
      <c r="T100" s="806"/>
      <c r="U100" s="806"/>
      <c r="V100" s="809">
        <f>R100/SUM(R97:U100)</f>
        <v>0.54306436990027196</v>
      </c>
      <c r="W100" s="810"/>
      <c r="X100" s="810"/>
      <c r="Y100" s="811"/>
      <c r="Z100" s="813">
        <f>51+68+37+50+59+50+72+61+52+43+70+63</f>
        <v>676</v>
      </c>
      <c r="AA100" s="813"/>
      <c r="AB100" s="813"/>
      <c r="AC100" s="813"/>
      <c r="AD100" s="817">
        <f>Z100/AA86</f>
        <v>0.58025751072961373</v>
      </c>
      <c r="AE100" s="817"/>
      <c r="AF100" s="817"/>
      <c r="AG100" s="817"/>
      <c r="AH100" s="13"/>
      <c r="AI100" s="13"/>
      <c r="AJ100" s="800"/>
      <c r="AK100" s="800"/>
      <c r="AL100" s="800"/>
      <c r="AM100" s="83"/>
      <c r="AN100" s="13"/>
      <c r="AO100" s="13"/>
      <c r="AP100" s="13"/>
      <c r="AQ100" s="13"/>
      <c r="AR100" s="14"/>
      <c r="AS100" s="14"/>
      <c r="AT100" s="14"/>
      <c r="AU100" s="14"/>
      <c r="AV100" s="14"/>
      <c r="AW100" s="14"/>
      <c r="AX100" s="14"/>
      <c r="AY100" s="890"/>
      <c r="AZ100" s="890"/>
      <c r="BA100" s="789"/>
      <c r="BB100" s="789"/>
    </row>
    <row r="101" spans="1:54" s="3" customFormat="1" ht="15.6" customHeight="1" x14ac:dyDescent="0.15">
      <c r="A101" s="55"/>
      <c r="Y101" s="2"/>
      <c r="Z101" s="2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4"/>
      <c r="AS101" s="14"/>
      <c r="AT101" s="14"/>
      <c r="AU101" s="14"/>
      <c r="AV101" s="14"/>
      <c r="AW101" s="14"/>
      <c r="AX101" s="14"/>
      <c r="AY101" s="80"/>
      <c r="AZ101" s="80"/>
      <c r="BA101" s="14"/>
    </row>
    <row r="102" spans="1:54" s="3" customFormat="1" ht="15.6" customHeight="1" x14ac:dyDescent="0.15">
      <c r="A102" s="55" t="s">
        <v>1</v>
      </c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AG102" s="4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4"/>
      <c r="AS102" s="14"/>
      <c r="AT102" s="14"/>
      <c r="AU102" s="14"/>
      <c r="AV102" s="14"/>
      <c r="AW102" s="14"/>
      <c r="AX102" s="14"/>
      <c r="AY102" s="80"/>
      <c r="AZ102" s="80"/>
      <c r="BA102" s="14"/>
    </row>
    <row r="103" spans="1:54" s="3" customFormat="1" ht="15.6" customHeight="1" x14ac:dyDescent="0.15">
      <c r="A103" s="50" t="s">
        <v>176</v>
      </c>
      <c r="AG103" s="4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4"/>
      <c r="AS103" s="14"/>
      <c r="AT103" s="14"/>
      <c r="AU103" s="14"/>
      <c r="AV103" s="14"/>
      <c r="AW103" s="14"/>
      <c r="AX103" s="14"/>
      <c r="AY103" s="80"/>
      <c r="AZ103" s="80"/>
      <c r="BA103" s="14"/>
    </row>
    <row r="104" spans="1:54" s="3" customFormat="1" ht="15.6" customHeight="1" x14ac:dyDescent="0.15">
      <c r="A104" s="55"/>
      <c r="B104" s="595" t="s">
        <v>14</v>
      </c>
      <c r="C104" s="595"/>
      <c r="D104" s="595" t="s">
        <v>15</v>
      </c>
      <c r="E104" s="595"/>
      <c r="F104" s="595"/>
      <c r="G104" s="595"/>
      <c r="H104" s="595"/>
      <c r="I104" s="595" t="s">
        <v>16</v>
      </c>
      <c r="J104" s="595"/>
      <c r="K104" s="595"/>
      <c r="L104" s="595"/>
      <c r="M104" s="595"/>
      <c r="N104" s="595" t="s">
        <v>17</v>
      </c>
      <c r="O104" s="595"/>
      <c r="P104" s="595"/>
      <c r="Q104" s="595"/>
      <c r="R104" s="595"/>
      <c r="S104" s="595" t="s">
        <v>18</v>
      </c>
      <c r="T104" s="595"/>
      <c r="U104" s="595"/>
      <c r="V104" s="595"/>
      <c r="W104" s="595"/>
      <c r="X104" s="595" t="s">
        <v>19</v>
      </c>
      <c r="Y104" s="595"/>
      <c r="Z104" s="595"/>
      <c r="AA104" s="595"/>
      <c r="AB104" s="595"/>
      <c r="AC104" s="595" t="s">
        <v>20</v>
      </c>
      <c r="AD104" s="595"/>
      <c r="AE104" s="595"/>
      <c r="AF104" s="595"/>
      <c r="AG104" s="7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80"/>
      <c r="AZ104" s="80"/>
      <c r="BA104" s="14"/>
    </row>
    <row r="105" spans="1:54" ht="15.6" customHeight="1" x14ac:dyDescent="0.15">
      <c r="A105" s="52"/>
      <c r="B105" s="815" t="s">
        <v>9</v>
      </c>
      <c r="C105" s="815"/>
      <c r="D105" s="816">
        <v>46</v>
      </c>
      <c r="E105" s="816"/>
      <c r="F105" s="816"/>
      <c r="G105" s="816"/>
      <c r="H105" s="816"/>
      <c r="I105" s="816">
        <v>2</v>
      </c>
      <c r="J105" s="816"/>
      <c r="K105" s="816"/>
      <c r="L105" s="816"/>
      <c r="M105" s="816"/>
      <c r="N105" s="816">
        <v>0</v>
      </c>
      <c r="O105" s="816"/>
      <c r="P105" s="816"/>
      <c r="Q105" s="816"/>
      <c r="R105" s="816"/>
      <c r="S105" s="816">
        <v>43</v>
      </c>
      <c r="T105" s="816"/>
      <c r="U105" s="816"/>
      <c r="V105" s="816"/>
      <c r="W105" s="816"/>
      <c r="X105" s="816">
        <v>19</v>
      </c>
      <c r="Y105" s="816"/>
      <c r="Z105" s="816"/>
      <c r="AA105" s="816"/>
      <c r="AB105" s="816"/>
      <c r="AC105" s="816">
        <f>S105-X105</f>
        <v>24</v>
      </c>
      <c r="AD105" s="816"/>
      <c r="AE105" s="816"/>
      <c r="AF105" s="816"/>
    </row>
    <row r="106" spans="1:54" s="7" customFormat="1" ht="15.6" customHeight="1" x14ac:dyDescent="0.15">
      <c r="A106" s="18" t="s">
        <v>227</v>
      </c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Y106" s="80"/>
      <c r="AZ106" s="80"/>
    </row>
    <row r="107" spans="1:54" ht="15.6" customHeight="1" x14ac:dyDescent="0.15">
      <c r="A107" s="55"/>
      <c r="B107" s="764" t="s">
        <v>14</v>
      </c>
      <c r="C107" s="764"/>
      <c r="D107" s="764" t="s">
        <v>15</v>
      </c>
      <c r="E107" s="764"/>
      <c r="F107" s="764"/>
      <c r="G107" s="764"/>
      <c r="H107" s="764"/>
      <c r="I107" s="764" t="s">
        <v>16</v>
      </c>
      <c r="J107" s="764"/>
      <c r="K107" s="764"/>
      <c r="L107" s="764"/>
      <c r="M107" s="764"/>
      <c r="N107" s="764" t="s">
        <v>17</v>
      </c>
      <c r="O107" s="764"/>
      <c r="P107" s="764"/>
      <c r="Q107" s="764"/>
      <c r="R107" s="764"/>
      <c r="S107" s="763" t="s">
        <v>18</v>
      </c>
      <c r="T107" s="763"/>
      <c r="U107" s="763"/>
      <c r="V107" s="763"/>
      <c r="W107" s="763"/>
      <c r="X107" s="763" t="s">
        <v>19</v>
      </c>
      <c r="Y107" s="763"/>
      <c r="Z107" s="763"/>
      <c r="AA107" s="763"/>
      <c r="AB107" s="763"/>
      <c r="AC107" s="763" t="s">
        <v>20</v>
      </c>
      <c r="AD107" s="763"/>
      <c r="AE107" s="763"/>
      <c r="AF107" s="763"/>
    </row>
    <row r="108" spans="1:54" s="7" customFormat="1" ht="15.6" customHeight="1" x14ac:dyDescent="0.15">
      <c r="A108" s="13"/>
      <c r="B108" s="818" t="s">
        <v>9</v>
      </c>
      <c r="C108" s="818"/>
      <c r="D108" s="750">
        <f>1+4+5+1+5+5+6+1+2+2+6+3</f>
        <v>41</v>
      </c>
      <c r="E108" s="750"/>
      <c r="F108" s="750"/>
      <c r="G108" s="750"/>
      <c r="H108" s="750"/>
      <c r="I108" s="750">
        <f>0+0+1+0+0+0+1+0+0+0+0+0</f>
        <v>2</v>
      </c>
      <c r="J108" s="750"/>
      <c r="K108" s="750"/>
      <c r="L108" s="750"/>
      <c r="M108" s="750"/>
      <c r="N108" s="750">
        <f>0+0+0+0+2+0+3+1+1+0+1</f>
        <v>8</v>
      </c>
      <c r="O108" s="750"/>
      <c r="P108" s="750"/>
      <c r="Q108" s="750"/>
      <c r="R108" s="750"/>
      <c r="S108" s="746">
        <f>3+3+0+3+3+2+4+1+2+2+2+2</f>
        <v>27</v>
      </c>
      <c r="T108" s="746"/>
      <c r="U108" s="746"/>
      <c r="V108" s="746"/>
      <c r="W108" s="746"/>
      <c r="X108" s="746">
        <f>0+6+1+2+1+2+4+4+6+2+2+4</f>
        <v>34</v>
      </c>
      <c r="Y108" s="746"/>
      <c r="Z108" s="746"/>
      <c r="AA108" s="746"/>
      <c r="AB108" s="746"/>
      <c r="AC108" s="746">
        <f>S108-X108</f>
        <v>-7</v>
      </c>
      <c r="AD108" s="746"/>
      <c r="AE108" s="746"/>
      <c r="AF108" s="746"/>
      <c r="AY108" s="80"/>
      <c r="AZ108" s="80"/>
    </row>
    <row r="110" spans="1:54" ht="15.6" customHeight="1" x14ac:dyDescent="0.15">
      <c r="I110" s="820"/>
      <c r="J110" s="819"/>
      <c r="K110" s="819"/>
      <c r="L110" s="819"/>
      <c r="S110" s="820"/>
      <c r="T110" s="819"/>
      <c r="U110" s="819"/>
      <c r="V110" s="819"/>
      <c r="Z110" s="820"/>
      <c r="AA110" s="819"/>
      <c r="AB110" s="819"/>
      <c r="AC110" s="819"/>
    </row>
    <row r="111" spans="1:54" ht="15.6" customHeight="1" x14ac:dyDescent="0.15">
      <c r="D111" s="19"/>
      <c r="I111" s="819"/>
      <c r="J111" s="819"/>
      <c r="K111" s="819"/>
      <c r="L111" s="819"/>
      <c r="M111" s="819"/>
      <c r="N111" s="821"/>
      <c r="O111" s="821"/>
      <c r="P111" s="821"/>
      <c r="Q111" s="821"/>
      <c r="R111" s="819"/>
      <c r="S111" s="819"/>
      <c r="T111" s="819"/>
      <c r="U111" s="819"/>
      <c r="Z111" s="819"/>
      <c r="AA111" s="819"/>
      <c r="AB111" s="819"/>
      <c r="AC111" s="819"/>
    </row>
    <row r="112" spans="1:54" ht="15.6" customHeight="1" x14ac:dyDescent="0.15">
      <c r="I112" s="819"/>
      <c r="J112" s="819"/>
      <c r="K112" s="819"/>
      <c r="L112" s="819"/>
      <c r="M112" s="819"/>
      <c r="N112" s="819"/>
      <c r="O112" s="819"/>
      <c r="P112" s="819"/>
      <c r="Q112" s="819"/>
      <c r="R112" s="819"/>
      <c r="S112" s="819"/>
      <c r="T112" s="819"/>
      <c r="U112" s="819"/>
      <c r="Z112" s="819"/>
      <c r="AA112" s="819"/>
      <c r="AB112" s="819"/>
      <c r="AC112" s="819"/>
    </row>
    <row r="113" spans="4:29" ht="15.6" customHeight="1" x14ac:dyDescent="0.15">
      <c r="D113" s="19"/>
      <c r="I113" s="819"/>
      <c r="J113" s="819"/>
      <c r="K113" s="819"/>
      <c r="L113" s="819"/>
      <c r="M113" s="819"/>
      <c r="N113" s="819"/>
      <c r="O113" s="819"/>
      <c r="P113" s="819"/>
      <c r="Q113" s="819"/>
      <c r="R113" s="819"/>
      <c r="S113" s="819"/>
      <c r="T113" s="819"/>
      <c r="U113" s="819"/>
      <c r="Z113" s="819"/>
      <c r="AA113" s="819"/>
      <c r="AB113" s="819"/>
      <c r="AC113" s="819"/>
    </row>
  </sheetData>
  <mergeCells count="482">
    <mergeCell ref="I112:M112"/>
    <mergeCell ref="N112:Q112"/>
    <mergeCell ref="R112:U112"/>
    <mergeCell ref="Z112:AC112"/>
    <mergeCell ref="I113:M113"/>
    <mergeCell ref="N113:Q113"/>
    <mergeCell ref="R113:U113"/>
    <mergeCell ref="Z113:AC113"/>
    <mergeCell ref="I110:L110"/>
    <mergeCell ref="S110:V110"/>
    <mergeCell ref="Z110:AC110"/>
    <mergeCell ref="I111:M111"/>
    <mergeCell ref="N111:Q111"/>
    <mergeCell ref="R111:U111"/>
    <mergeCell ref="Z111:AC111"/>
    <mergeCell ref="B108:C108"/>
    <mergeCell ref="D108:H108"/>
    <mergeCell ref="I108:M108"/>
    <mergeCell ref="N108:R108"/>
    <mergeCell ref="S108:W108"/>
    <mergeCell ref="X108:AB108"/>
    <mergeCell ref="AC108:AF108"/>
    <mergeCell ref="B107:C107"/>
    <mergeCell ref="D107:H107"/>
    <mergeCell ref="I107:M107"/>
    <mergeCell ref="N107:R107"/>
    <mergeCell ref="S107:W107"/>
    <mergeCell ref="X107:AB107"/>
    <mergeCell ref="B105:C105"/>
    <mergeCell ref="D105:H105"/>
    <mergeCell ref="I105:M105"/>
    <mergeCell ref="N105:R105"/>
    <mergeCell ref="S105:W105"/>
    <mergeCell ref="X105:AB105"/>
    <mergeCell ref="AC105:AF105"/>
    <mergeCell ref="AD100:AG100"/>
    <mergeCell ref="AC107:AF107"/>
    <mergeCell ref="AJ100:AL100"/>
    <mergeCell ref="AY100:AZ100"/>
    <mergeCell ref="BA100:BB100"/>
    <mergeCell ref="B104:C104"/>
    <mergeCell ref="D104:H104"/>
    <mergeCell ref="I104:M104"/>
    <mergeCell ref="N104:R104"/>
    <mergeCell ref="S104:W104"/>
    <mergeCell ref="X104:AB104"/>
    <mergeCell ref="E100:I100"/>
    <mergeCell ref="J100:M100"/>
    <mergeCell ref="N100:Q100"/>
    <mergeCell ref="R100:U100"/>
    <mergeCell ref="V100:Y100"/>
    <mergeCell ref="Z100:AC100"/>
    <mergeCell ref="AC104:AF104"/>
    <mergeCell ref="Z98:AC98"/>
    <mergeCell ref="AD98:AG98"/>
    <mergeCell ref="AY98:AZ98"/>
    <mergeCell ref="E99:I99"/>
    <mergeCell ref="J99:M99"/>
    <mergeCell ref="N99:Q99"/>
    <mergeCell ref="R99:U99"/>
    <mergeCell ref="V99:Y99"/>
    <mergeCell ref="Z99:AC99"/>
    <mergeCell ref="AD99:AG99"/>
    <mergeCell ref="AY99:AZ99"/>
    <mergeCell ref="AJ96:AL96"/>
    <mergeCell ref="AY96:AZ96"/>
    <mergeCell ref="BA96:BB96"/>
    <mergeCell ref="B97:D100"/>
    <mergeCell ref="E97:I97"/>
    <mergeCell ref="J97:M97"/>
    <mergeCell ref="N97:Q97"/>
    <mergeCell ref="R97:U97"/>
    <mergeCell ref="V97:Y97"/>
    <mergeCell ref="E96:I96"/>
    <mergeCell ref="J96:M96"/>
    <mergeCell ref="N96:Q96"/>
    <mergeCell ref="R96:U96"/>
    <mergeCell ref="V96:Y96"/>
    <mergeCell ref="Z96:AC96"/>
    <mergeCell ref="Z97:AC97"/>
    <mergeCell ref="AD97:AG97"/>
    <mergeCell ref="AK97:AM97"/>
    <mergeCell ref="AY97:AZ97"/>
    <mergeCell ref="E98:I98"/>
    <mergeCell ref="J98:M98"/>
    <mergeCell ref="N98:Q98"/>
    <mergeCell ref="R98:U98"/>
    <mergeCell ref="V98:Y98"/>
    <mergeCell ref="AY94:AZ94"/>
    <mergeCell ref="E95:I95"/>
    <mergeCell ref="J95:M95"/>
    <mergeCell ref="N95:Q95"/>
    <mergeCell ref="R95:U95"/>
    <mergeCell ref="V95:Y95"/>
    <mergeCell ref="Z95:AC95"/>
    <mergeCell ref="AD95:AG95"/>
    <mergeCell ref="AK95:AM95"/>
    <mergeCell ref="AY95:AZ95"/>
    <mergeCell ref="J94:M94"/>
    <mergeCell ref="N94:Q94"/>
    <mergeCell ref="R94:U94"/>
    <mergeCell ref="V94:Y94"/>
    <mergeCell ref="Z94:AC94"/>
    <mergeCell ref="AD94:AG94"/>
    <mergeCell ref="AY92:AZ92"/>
    <mergeCell ref="E93:I93"/>
    <mergeCell ref="J93:M93"/>
    <mergeCell ref="N93:Q93"/>
    <mergeCell ref="R93:U93"/>
    <mergeCell ref="V93:Y93"/>
    <mergeCell ref="Z93:AC93"/>
    <mergeCell ref="AD93:AG93"/>
    <mergeCell ref="AY93:AZ93"/>
    <mergeCell ref="AD91:AG91"/>
    <mergeCell ref="B92:D96"/>
    <mergeCell ref="E92:I92"/>
    <mergeCell ref="J92:M92"/>
    <mergeCell ref="N92:Q92"/>
    <mergeCell ref="R92:U92"/>
    <mergeCell ref="V92:Y92"/>
    <mergeCell ref="Z92:AC92"/>
    <mergeCell ref="AD92:AG92"/>
    <mergeCell ref="E94:I94"/>
    <mergeCell ref="B90:D91"/>
    <mergeCell ref="E90:I91"/>
    <mergeCell ref="J90:Q90"/>
    <mergeCell ref="R90:Y90"/>
    <mergeCell ref="Z90:AG90"/>
    <mergeCell ref="J91:M91"/>
    <mergeCell ref="N91:Q91"/>
    <mergeCell ref="R91:U91"/>
    <mergeCell ref="V91:Y91"/>
    <mergeCell ref="Z91:AC91"/>
    <mergeCell ref="AD96:AG96"/>
    <mergeCell ref="AI86:AK86"/>
    <mergeCell ref="B87:F87"/>
    <mergeCell ref="G87:K87"/>
    <mergeCell ref="L87:P87"/>
    <mergeCell ref="Q87:U87"/>
    <mergeCell ref="V87:Z87"/>
    <mergeCell ref="AA87:AE87"/>
    <mergeCell ref="AA85:AE85"/>
    <mergeCell ref="B86:F86"/>
    <mergeCell ref="G86:K86"/>
    <mergeCell ref="L86:P86"/>
    <mergeCell ref="Q86:U86"/>
    <mergeCell ref="V86:Z86"/>
    <mergeCell ref="AA86:AE86"/>
    <mergeCell ref="B82:G82"/>
    <mergeCell ref="H82:M82"/>
    <mergeCell ref="N82:S82"/>
    <mergeCell ref="T82:Y82"/>
    <mergeCell ref="Z82:AG82"/>
    <mergeCell ref="B85:F85"/>
    <mergeCell ref="G85:K85"/>
    <mergeCell ref="L85:P85"/>
    <mergeCell ref="Q85:U85"/>
    <mergeCell ref="V85:Z85"/>
    <mergeCell ref="B80:G80"/>
    <mergeCell ref="H80:M80"/>
    <mergeCell ref="N80:S80"/>
    <mergeCell ref="T80:Y80"/>
    <mergeCell ref="Z80:AG80"/>
    <mergeCell ref="B81:G81"/>
    <mergeCell ref="H81:M81"/>
    <mergeCell ref="N81:S81"/>
    <mergeCell ref="T81:Y81"/>
    <mergeCell ref="Z81:AG81"/>
    <mergeCell ref="B78:G78"/>
    <mergeCell ref="H78:M78"/>
    <mergeCell ref="N78:S78"/>
    <mergeCell ref="T78:Y78"/>
    <mergeCell ref="Z78:AG78"/>
    <mergeCell ref="B79:G79"/>
    <mergeCell ref="H79:M79"/>
    <mergeCell ref="N79:S79"/>
    <mergeCell ref="T79:Y79"/>
    <mergeCell ref="Z79:AG79"/>
    <mergeCell ref="H71:J72"/>
    <mergeCell ref="K71:L72"/>
    <mergeCell ref="M71:N72"/>
    <mergeCell ref="O71:Q72"/>
    <mergeCell ref="X73:Y73"/>
    <mergeCell ref="Z73:AB73"/>
    <mergeCell ref="AC73:AD73"/>
    <mergeCell ref="AE73:AG73"/>
    <mergeCell ref="B76:G77"/>
    <mergeCell ref="H76:Y76"/>
    <mergeCell ref="Z76:AG77"/>
    <mergeCell ref="H77:M77"/>
    <mergeCell ref="N77:S77"/>
    <mergeCell ref="T77:Y77"/>
    <mergeCell ref="AQ67:AR67"/>
    <mergeCell ref="AQ68:AR68"/>
    <mergeCell ref="V67:W68"/>
    <mergeCell ref="X67:Y68"/>
    <mergeCell ref="Z67:AB68"/>
    <mergeCell ref="AC67:AD68"/>
    <mergeCell ref="AE71:AG72"/>
    <mergeCell ref="B73:D73"/>
    <mergeCell ref="E73:G73"/>
    <mergeCell ref="H73:J73"/>
    <mergeCell ref="K73:L73"/>
    <mergeCell ref="M73:N73"/>
    <mergeCell ref="O73:Q73"/>
    <mergeCell ref="R73:S73"/>
    <mergeCell ref="T73:U73"/>
    <mergeCell ref="V73:W73"/>
    <mergeCell ref="R71:S72"/>
    <mergeCell ref="T71:U72"/>
    <mergeCell ref="V71:W72"/>
    <mergeCell ref="X71:Y72"/>
    <mergeCell ref="Z71:AB72"/>
    <mergeCell ref="AC71:AD72"/>
    <mergeCell ref="B71:D72"/>
    <mergeCell ref="E71:G72"/>
    <mergeCell ref="AQ63:AR63"/>
    <mergeCell ref="AQ64:AR64"/>
    <mergeCell ref="B69:D70"/>
    <mergeCell ref="E69:G70"/>
    <mergeCell ref="H69:J70"/>
    <mergeCell ref="K69:L70"/>
    <mergeCell ref="M69:N70"/>
    <mergeCell ref="O69:Q70"/>
    <mergeCell ref="R69:S70"/>
    <mergeCell ref="R67:S68"/>
    <mergeCell ref="T67:U68"/>
    <mergeCell ref="B67:D68"/>
    <mergeCell ref="E67:G68"/>
    <mergeCell ref="H67:J68"/>
    <mergeCell ref="K67:L68"/>
    <mergeCell ref="M67:N68"/>
    <mergeCell ref="O67:Q68"/>
    <mergeCell ref="T69:U70"/>
    <mergeCell ref="V69:W70"/>
    <mergeCell ref="X69:Y70"/>
    <mergeCell ref="Z69:AB70"/>
    <mergeCell ref="AC69:AD70"/>
    <mergeCell ref="AE69:AG70"/>
    <mergeCell ref="AE67:AG68"/>
    <mergeCell ref="B65:D66"/>
    <mergeCell ref="E65:G66"/>
    <mergeCell ref="H65:J66"/>
    <mergeCell ref="K65:L66"/>
    <mergeCell ref="M65:N66"/>
    <mergeCell ref="O65:Q66"/>
    <mergeCell ref="R65:S66"/>
    <mergeCell ref="T65:U66"/>
    <mergeCell ref="AQ61:AR61"/>
    <mergeCell ref="F62:I62"/>
    <mergeCell ref="J62:M62"/>
    <mergeCell ref="N62:Q62"/>
    <mergeCell ref="R62:U62"/>
    <mergeCell ref="V62:Y62"/>
    <mergeCell ref="Z62:AC62"/>
    <mergeCell ref="AD62:AG62"/>
    <mergeCell ref="AQ62:AR62"/>
    <mergeCell ref="V65:W66"/>
    <mergeCell ref="X65:Y66"/>
    <mergeCell ref="Z65:AB66"/>
    <mergeCell ref="AC65:AD66"/>
    <mergeCell ref="AE65:AG66"/>
    <mergeCell ref="AQ65:AR65"/>
    <mergeCell ref="AQ66:AR66"/>
    <mergeCell ref="V58:Y58"/>
    <mergeCell ref="Z58:AC58"/>
    <mergeCell ref="AD58:AG58"/>
    <mergeCell ref="B61:E62"/>
    <mergeCell ref="F61:I61"/>
    <mergeCell ref="J61:M61"/>
    <mergeCell ref="N61:Q61"/>
    <mergeCell ref="R61:U61"/>
    <mergeCell ref="V61:Y61"/>
    <mergeCell ref="Z61:AC61"/>
    <mergeCell ref="AD61:AG61"/>
    <mergeCell ref="F60:I60"/>
    <mergeCell ref="J60:M60"/>
    <mergeCell ref="N60:Q60"/>
    <mergeCell ref="R60:U60"/>
    <mergeCell ref="V60:Y60"/>
    <mergeCell ref="Z60:AC60"/>
    <mergeCell ref="F57:I57"/>
    <mergeCell ref="J57:M57"/>
    <mergeCell ref="N57:Q57"/>
    <mergeCell ref="R57:U57"/>
    <mergeCell ref="V57:Y57"/>
    <mergeCell ref="Z57:AC57"/>
    <mergeCell ref="AQ58:AR58"/>
    <mergeCell ref="B59:E60"/>
    <mergeCell ref="F59:I59"/>
    <mergeCell ref="J59:M59"/>
    <mergeCell ref="N59:Q59"/>
    <mergeCell ref="R59:U59"/>
    <mergeCell ref="V59:Y59"/>
    <mergeCell ref="Z59:AC59"/>
    <mergeCell ref="AD59:AG59"/>
    <mergeCell ref="AQ59:AR59"/>
    <mergeCell ref="B57:E58"/>
    <mergeCell ref="AD60:AG60"/>
    <mergeCell ref="AQ60:AR60"/>
    <mergeCell ref="AD57:AG57"/>
    <mergeCell ref="F58:I58"/>
    <mergeCell ref="J58:M58"/>
    <mergeCell ref="N58:Q58"/>
    <mergeCell ref="R58:U58"/>
    <mergeCell ref="W48:X48"/>
    <mergeCell ref="AC48:AD48"/>
    <mergeCell ref="D49:G49"/>
    <mergeCell ref="W49:X49"/>
    <mergeCell ref="AC49:AD49"/>
    <mergeCell ref="B56:E56"/>
    <mergeCell ref="F56:I56"/>
    <mergeCell ref="J56:M56"/>
    <mergeCell ref="N56:Q56"/>
    <mergeCell ref="R56:U56"/>
    <mergeCell ref="B39:C49"/>
    <mergeCell ref="D39:F39"/>
    <mergeCell ref="G39:H39"/>
    <mergeCell ref="L39:M39"/>
    <mergeCell ref="Q39:R39"/>
    <mergeCell ref="W39:X39"/>
    <mergeCell ref="AC39:AD39"/>
    <mergeCell ref="V56:Y56"/>
    <mergeCell ref="Z56:AC56"/>
    <mergeCell ref="AD56:AG56"/>
    <mergeCell ref="W45:X45"/>
    <mergeCell ref="AC45:AD45"/>
    <mergeCell ref="W46:X46"/>
    <mergeCell ref="AC46:AD46"/>
    <mergeCell ref="W47:X47"/>
    <mergeCell ref="AC47:AD47"/>
    <mergeCell ref="D43:G43"/>
    <mergeCell ref="Q43:R43"/>
    <mergeCell ref="W43:X43"/>
    <mergeCell ref="AC43:AD43"/>
    <mergeCell ref="W44:X44"/>
    <mergeCell ref="AC44:AD44"/>
    <mergeCell ref="AJ39:AM39"/>
    <mergeCell ref="D40:G40"/>
    <mergeCell ref="AJ41:AM41"/>
    <mergeCell ref="D42:G42"/>
    <mergeCell ref="L42:M42"/>
    <mergeCell ref="Q42:R42"/>
    <mergeCell ref="W42:X42"/>
    <mergeCell ref="AC42:AD42"/>
    <mergeCell ref="L40:M40"/>
    <mergeCell ref="Q40:R40"/>
    <mergeCell ref="W40:X40"/>
    <mergeCell ref="AC40:AD40"/>
    <mergeCell ref="D41:G41"/>
    <mergeCell ref="L41:M41"/>
    <mergeCell ref="Q41:R41"/>
    <mergeCell ref="W41:X41"/>
    <mergeCell ref="AC41:AD41"/>
    <mergeCell ref="AE37:AG37"/>
    <mergeCell ref="B38:C38"/>
    <mergeCell ref="D38:H38"/>
    <mergeCell ref="I38:M38"/>
    <mergeCell ref="N38:R38"/>
    <mergeCell ref="S38:X38"/>
    <mergeCell ref="Y38:AD38"/>
    <mergeCell ref="AE38:AG38"/>
    <mergeCell ref="AJ38:AM38"/>
    <mergeCell ref="W34:X34"/>
    <mergeCell ref="AC34:AD34"/>
    <mergeCell ref="D35:G35"/>
    <mergeCell ref="W35:X35"/>
    <mergeCell ref="AC35:AD35"/>
    <mergeCell ref="B37:C37"/>
    <mergeCell ref="D37:H37"/>
    <mergeCell ref="I37:M37"/>
    <mergeCell ref="N37:R37"/>
    <mergeCell ref="S37:X37"/>
    <mergeCell ref="B25:C35"/>
    <mergeCell ref="Y37:AD37"/>
    <mergeCell ref="W31:X31"/>
    <mergeCell ref="AC31:AD31"/>
    <mergeCell ref="W32:X32"/>
    <mergeCell ref="AC32:AD32"/>
    <mergeCell ref="W33:X33"/>
    <mergeCell ref="AC33:AD33"/>
    <mergeCell ref="D29:G29"/>
    <mergeCell ref="Q29:R29"/>
    <mergeCell ref="W29:X29"/>
    <mergeCell ref="AC29:AD29"/>
    <mergeCell ref="W30:X30"/>
    <mergeCell ref="AC30:AD30"/>
    <mergeCell ref="D28:G28"/>
    <mergeCell ref="L28:M28"/>
    <mergeCell ref="Q28:R28"/>
    <mergeCell ref="W28:X28"/>
    <mergeCell ref="AC28:AD28"/>
    <mergeCell ref="AC25:AD25"/>
    <mergeCell ref="D26:G26"/>
    <mergeCell ref="L26:M26"/>
    <mergeCell ref="Q26:R26"/>
    <mergeCell ref="W26:X26"/>
    <mergeCell ref="AC26:AD26"/>
    <mergeCell ref="D25:F25"/>
    <mergeCell ref="G25:H25"/>
    <mergeCell ref="L25:M25"/>
    <mergeCell ref="Q25:R25"/>
    <mergeCell ref="W25:X25"/>
    <mergeCell ref="D27:G27"/>
    <mergeCell ref="L27:M27"/>
    <mergeCell ref="Q27:R27"/>
    <mergeCell ref="W27:X27"/>
    <mergeCell ref="AE23:AG23"/>
    <mergeCell ref="B24:C24"/>
    <mergeCell ref="D24:H24"/>
    <mergeCell ref="I24:M24"/>
    <mergeCell ref="N24:R24"/>
    <mergeCell ref="S24:X24"/>
    <mergeCell ref="Y24:AD24"/>
    <mergeCell ref="AE24:AG24"/>
    <mergeCell ref="AC27:AD27"/>
    <mergeCell ref="D19:H19"/>
    <mergeCell ref="I19:M19"/>
    <mergeCell ref="N19:R19"/>
    <mergeCell ref="B23:C23"/>
    <mergeCell ref="D23:H23"/>
    <mergeCell ref="I23:M23"/>
    <mergeCell ref="N23:R23"/>
    <mergeCell ref="AH17:AK17"/>
    <mergeCell ref="AX17:AY17"/>
    <mergeCell ref="B18:H18"/>
    <mergeCell ref="I18:M18"/>
    <mergeCell ref="N18:R18"/>
    <mergeCell ref="S18:W18"/>
    <mergeCell ref="X18:AA18"/>
    <mergeCell ref="AC18:AG18"/>
    <mergeCell ref="AH18:AK18"/>
    <mergeCell ref="B17:H17"/>
    <mergeCell ref="I17:M17"/>
    <mergeCell ref="N17:R17"/>
    <mergeCell ref="S17:W17"/>
    <mergeCell ref="X17:AA17"/>
    <mergeCell ref="AC17:AG17"/>
    <mergeCell ref="S23:X23"/>
    <mergeCell ref="Y23:AD23"/>
    <mergeCell ref="AH15:AK15"/>
    <mergeCell ref="B16:H16"/>
    <mergeCell ref="I16:M16"/>
    <mergeCell ref="N16:R16"/>
    <mergeCell ref="S16:W16"/>
    <mergeCell ref="X16:AA16"/>
    <mergeCell ref="AC16:AG16"/>
    <mergeCell ref="AH16:AK16"/>
    <mergeCell ref="B15:H15"/>
    <mergeCell ref="I15:M15"/>
    <mergeCell ref="N15:R15"/>
    <mergeCell ref="S15:W15"/>
    <mergeCell ref="X15:AA15"/>
    <mergeCell ref="AC15:AG15"/>
    <mergeCell ref="AH13:AK13"/>
    <mergeCell ref="I14:M14"/>
    <mergeCell ref="N14:R14"/>
    <mergeCell ref="S14:W14"/>
    <mergeCell ref="X14:AA14"/>
    <mergeCell ref="AC14:AG14"/>
    <mergeCell ref="AH14:AK14"/>
    <mergeCell ref="Y11:AA11"/>
    <mergeCell ref="AC11:AG12"/>
    <mergeCell ref="Y12:AA12"/>
    <mergeCell ref="I13:M13"/>
    <mergeCell ref="N13:R13"/>
    <mergeCell ref="S13:W13"/>
    <mergeCell ref="X13:AA13"/>
    <mergeCell ref="AC13:AG13"/>
    <mergeCell ref="I7:M7"/>
    <mergeCell ref="I8:M8"/>
    <mergeCell ref="V8:X8"/>
    <mergeCell ref="B11:H12"/>
    <mergeCell ref="I11:M12"/>
    <mergeCell ref="N11:R12"/>
    <mergeCell ref="S11:W12"/>
    <mergeCell ref="A1:AG2"/>
    <mergeCell ref="AA3:AG4"/>
    <mergeCell ref="AA5:AG5"/>
    <mergeCell ref="B6:D6"/>
    <mergeCell ref="F6:L6"/>
    <mergeCell ref="M6:O6"/>
  </mergeCells>
  <phoneticPr fontId="9"/>
  <pageMargins left="0.59055118110236227" right="0.39370078740157483" top="0.39370078740157483" bottom="0.39370078740157483" header="0" footer="0"/>
  <pageSetup paperSize="9" scale="99" orientation="portrait" copies="9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BT113"/>
  <sheetViews>
    <sheetView view="pageBreakPreview" zoomScaleNormal="100" zoomScaleSheetLayoutView="100" workbookViewId="0">
      <selection activeCell="AA5" sqref="AA5:AG5"/>
    </sheetView>
  </sheetViews>
  <sheetFormatPr defaultColWidth="2.625" defaultRowHeight="15.6" customHeight="1" x14ac:dyDescent="0.15"/>
  <cols>
    <col min="1" max="1" width="2.625" style="69"/>
    <col min="2" max="29" width="2.625" style="4"/>
    <col min="30" max="30" width="2.625" style="4" customWidth="1"/>
    <col min="31" max="33" width="2.625" style="4"/>
    <col min="34" max="35" width="2.625" style="7"/>
    <col min="36" max="36" width="8.5" style="7" bestFit="1" customWidth="1"/>
    <col min="37" max="37" width="3.5" style="7" bestFit="1" customWidth="1"/>
    <col min="38" max="40" width="2.625" style="7"/>
    <col min="41" max="42" width="2.625" style="4"/>
    <col min="43" max="43" width="3.5" style="4" bestFit="1" customWidth="1"/>
    <col min="44" max="50" width="2.625" style="4"/>
    <col min="51" max="52" width="2.625" style="79"/>
    <col min="53" max="16384" width="2.625" style="4"/>
  </cols>
  <sheetData>
    <row r="1" spans="1:52" ht="15.6" customHeight="1" x14ac:dyDescent="0.15">
      <c r="A1" s="562" t="s">
        <v>6</v>
      </c>
      <c r="B1" s="562"/>
      <c r="C1" s="562"/>
      <c r="D1" s="562"/>
      <c r="E1" s="562"/>
      <c r="F1" s="562"/>
      <c r="G1" s="562"/>
      <c r="H1" s="562"/>
      <c r="I1" s="562"/>
      <c r="J1" s="562"/>
      <c r="K1" s="562"/>
      <c r="L1" s="562"/>
      <c r="M1" s="562"/>
      <c r="N1" s="562"/>
      <c r="O1" s="562"/>
      <c r="P1" s="562"/>
      <c r="Q1" s="562"/>
      <c r="R1" s="562"/>
      <c r="S1" s="562"/>
      <c r="T1" s="562"/>
      <c r="U1" s="562"/>
      <c r="V1" s="562"/>
      <c r="W1" s="562"/>
      <c r="X1" s="562"/>
      <c r="Y1" s="562"/>
      <c r="Z1" s="562"/>
      <c r="AA1" s="562"/>
      <c r="AB1" s="562"/>
      <c r="AC1" s="562"/>
      <c r="AD1" s="562"/>
      <c r="AE1" s="562"/>
      <c r="AF1" s="562"/>
      <c r="AG1" s="562"/>
      <c r="AH1" s="20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</row>
    <row r="2" spans="1:52" ht="15.6" customHeight="1" x14ac:dyDescent="0.15">
      <c r="A2" s="562"/>
      <c r="B2" s="562"/>
      <c r="C2" s="562"/>
      <c r="D2" s="562"/>
      <c r="E2" s="562"/>
      <c r="F2" s="562"/>
      <c r="G2" s="562"/>
      <c r="H2" s="562"/>
      <c r="I2" s="562"/>
      <c r="J2" s="562"/>
      <c r="K2" s="562"/>
      <c r="L2" s="562"/>
      <c r="M2" s="562"/>
      <c r="N2" s="562"/>
      <c r="O2" s="562"/>
      <c r="P2" s="562"/>
      <c r="Q2" s="562"/>
      <c r="R2" s="562"/>
      <c r="S2" s="562"/>
      <c r="T2" s="562"/>
      <c r="U2" s="562"/>
      <c r="V2" s="562"/>
      <c r="W2" s="562"/>
      <c r="X2" s="562"/>
      <c r="Y2" s="562"/>
      <c r="Z2" s="562"/>
      <c r="AA2" s="562"/>
      <c r="AB2" s="562"/>
      <c r="AC2" s="562"/>
      <c r="AD2" s="562"/>
      <c r="AE2" s="562"/>
      <c r="AF2" s="562"/>
      <c r="AG2" s="562"/>
      <c r="AH2" s="20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</row>
    <row r="3" spans="1:52" s="3" customFormat="1" ht="15.6" customHeight="1" x14ac:dyDescent="0.15">
      <c r="A3" s="49"/>
      <c r="B3" s="41"/>
      <c r="C3" s="42"/>
      <c r="D3" s="42"/>
      <c r="E3" s="42"/>
      <c r="F3" s="42"/>
      <c r="G3" s="42"/>
      <c r="H3" s="42"/>
      <c r="I3" s="42"/>
      <c r="J3" s="42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33"/>
      <c r="W3" s="33"/>
      <c r="X3" s="33"/>
      <c r="Y3" s="33"/>
      <c r="Z3" s="33"/>
      <c r="AA3" s="563" t="s">
        <v>107</v>
      </c>
      <c r="AB3" s="563"/>
      <c r="AC3" s="563"/>
      <c r="AD3" s="563"/>
      <c r="AE3" s="563"/>
      <c r="AF3" s="563"/>
      <c r="AG3" s="563"/>
      <c r="AH3" s="21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Y3" s="79"/>
      <c r="AZ3" s="79"/>
    </row>
    <row r="4" spans="1:52" s="3" customFormat="1" ht="15.6" customHeight="1" x14ac:dyDescent="0.15">
      <c r="A4" s="49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33"/>
      <c r="W4" s="33"/>
      <c r="X4" s="33"/>
      <c r="Y4" s="33"/>
      <c r="Z4" s="33"/>
      <c r="AA4" s="563"/>
      <c r="AB4" s="563"/>
      <c r="AC4" s="563"/>
      <c r="AD4" s="563"/>
      <c r="AE4" s="563"/>
      <c r="AF4" s="563"/>
      <c r="AG4" s="563"/>
      <c r="AH4" s="21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Y4" s="79"/>
      <c r="AZ4" s="79"/>
    </row>
    <row r="5" spans="1:52" s="3" customFormat="1" ht="15.6" customHeight="1" x14ac:dyDescent="0.15">
      <c r="A5" s="49" t="s">
        <v>66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21"/>
      <c r="W5" s="21"/>
      <c r="X5" s="21"/>
      <c r="Y5" s="21"/>
      <c r="Z5" s="21"/>
      <c r="AA5" s="891" t="s">
        <v>237</v>
      </c>
      <c r="AB5" s="564"/>
      <c r="AC5" s="564"/>
      <c r="AD5" s="564"/>
      <c r="AE5" s="564"/>
      <c r="AF5" s="564"/>
      <c r="AG5" s="564"/>
      <c r="AH5" s="21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Y5" s="79"/>
      <c r="AZ5" s="79"/>
    </row>
    <row r="6" spans="1:52" s="3" customFormat="1" ht="15.6" customHeight="1" x14ac:dyDescent="0.15">
      <c r="A6" s="49" t="s">
        <v>7</v>
      </c>
      <c r="B6" s="828" t="s">
        <v>108</v>
      </c>
      <c r="C6" s="828"/>
      <c r="D6" s="828"/>
      <c r="E6" s="35" t="s">
        <v>109</v>
      </c>
      <c r="F6" s="566">
        <v>44743</v>
      </c>
      <c r="G6" s="566"/>
      <c r="H6" s="566"/>
      <c r="I6" s="566"/>
      <c r="J6" s="566"/>
      <c r="K6" s="566"/>
      <c r="L6" s="566"/>
      <c r="M6" s="826" t="s">
        <v>111</v>
      </c>
      <c r="N6" s="826"/>
      <c r="O6" s="826"/>
      <c r="P6" s="16"/>
      <c r="Q6" s="16"/>
      <c r="R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Y6" s="79"/>
      <c r="AZ6" s="79"/>
    </row>
    <row r="7" spans="1:52" s="3" customFormat="1" ht="15.6" customHeight="1" x14ac:dyDescent="0.15">
      <c r="A7" s="49"/>
      <c r="B7" s="16"/>
      <c r="C7" s="16" t="s">
        <v>65</v>
      </c>
      <c r="D7" s="15"/>
      <c r="E7" s="16"/>
      <c r="F7" s="49"/>
      <c r="G7" s="49"/>
      <c r="H7" s="49"/>
      <c r="I7" s="546">
        <v>224051</v>
      </c>
      <c r="J7" s="546"/>
      <c r="K7" s="546"/>
      <c r="L7" s="546"/>
      <c r="M7" s="546"/>
      <c r="N7" s="49" t="s">
        <v>8</v>
      </c>
      <c r="O7" s="49"/>
      <c r="P7" s="220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Y7" s="79"/>
      <c r="AZ7" s="79"/>
    </row>
    <row r="8" spans="1:52" s="3" customFormat="1" ht="15.6" customHeight="1" x14ac:dyDescent="0.15">
      <c r="A8" s="49"/>
      <c r="B8" s="16"/>
      <c r="C8" s="16" t="s">
        <v>9</v>
      </c>
      <c r="D8" s="16"/>
      <c r="E8" s="16"/>
      <c r="F8" s="49"/>
      <c r="G8" s="49"/>
      <c r="H8" s="49"/>
      <c r="I8" s="547">
        <v>103111</v>
      </c>
      <c r="J8" s="546"/>
      <c r="K8" s="546"/>
      <c r="L8" s="546"/>
      <c r="M8" s="546"/>
      <c r="N8" s="49" t="s">
        <v>10</v>
      </c>
      <c r="O8" s="49"/>
      <c r="P8" s="16" t="s">
        <v>11</v>
      </c>
      <c r="Q8" s="16"/>
      <c r="R8" s="16"/>
      <c r="S8" s="16"/>
      <c r="T8" s="16"/>
      <c r="U8" s="16"/>
      <c r="V8" s="548">
        <f>I7/I8</f>
        <v>2.1729107466710631</v>
      </c>
      <c r="W8" s="548"/>
      <c r="X8" s="548"/>
      <c r="Y8" s="16" t="s">
        <v>12</v>
      </c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Y8" s="79"/>
      <c r="AZ8" s="79"/>
    </row>
    <row r="9" spans="1:52" s="3" customFormat="1" ht="15.6" customHeight="1" x14ac:dyDescent="0.15">
      <c r="A9" s="49"/>
      <c r="B9" s="16"/>
      <c r="C9" s="16"/>
      <c r="D9" s="16"/>
      <c r="E9" s="16"/>
      <c r="F9" s="16"/>
      <c r="G9" s="16"/>
      <c r="H9" s="16"/>
      <c r="I9" s="226"/>
      <c r="J9" s="225"/>
      <c r="K9" s="225"/>
      <c r="L9" s="225"/>
      <c r="M9" s="225"/>
      <c r="N9" s="16"/>
      <c r="O9" s="16"/>
      <c r="P9" s="16"/>
      <c r="Q9" s="16"/>
      <c r="R9" s="16"/>
      <c r="S9" s="16"/>
      <c r="T9" s="16"/>
      <c r="U9" s="16"/>
      <c r="V9" s="194"/>
      <c r="W9" s="194"/>
      <c r="X9" s="194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Y9" s="79"/>
      <c r="AZ9" s="79"/>
    </row>
    <row r="10" spans="1:52" s="3" customFormat="1" ht="15.6" customHeight="1" x14ac:dyDescent="0.15">
      <c r="A10" s="49" t="s">
        <v>5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Y10" s="79"/>
      <c r="AZ10" s="79"/>
    </row>
    <row r="11" spans="1:52" s="3" customFormat="1" ht="15.6" customHeight="1" x14ac:dyDescent="0.15">
      <c r="A11" s="49"/>
      <c r="B11" s="549" t="s">
        <v>67</v>
      </c>
      <c r="C11" s="550"/>
      <c r="D11" s="550"/>
      <c r="E11" s="550"/>
      <c r="F11" s="550"/>
      <c r="G11" s="550"/>
      <c r="H11" s="551"/>
      <c r="I11" s="555" t="s">
        <v>130</v>
      </c>
      <c r="J11" s="556"/>
      <c r="K11" s="556"/>
      <c r="L11" s="556"/>
      <c r="M11" s="557"/>
      <c r="N11" s="555" t="s">
        <v>131</v>
      </c>
      <c r="O11" s="556"/>
      <c r="P11" s="556"/>
      <c r="Q11" s="556"/>
      <c r="R11" s="557"/>
      <c r="S11" s="561" t="s">
        <v>13</v>
      </c>
      <c r="T11" s="556"/>
      <c r="U11" s="556"/>
      <c r="V11" s="556"/>
      <c r="W11" s="557"/>
      <c r="X11" s="29"/>
      <c r="Y11" s="581" t="s">
        <v>68</v>
      </c>
      <c r="Z11" s="581"/>
      <c r="AA11" s="581"/>
      <c r="AB11" s="30"/>
      <c r="AC11" s="561" t="s">
        <v>81</v>
      </c>
      <c r="AD11" s="556"/>
      <c r="AE11" s="556"/>
      <c r="AF11" s="556"/>
      <c r="AG11" s="557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Y11" s="79"/>
      <c r="AZ11" s="79"/>
    </row>
    <row r="12" spans="1:52" s="3" customFormat="1" ht="15.6" customHeight="1" x14ac:dyDescent="0.15">
      <c r="A12" s="49"/>
      <c r="B12" s="552"/>
      <c r="C12" s="553"/>
      <c r="D12" s="553"/>
      <c r="E12" s="553"/>
      <c r="F12" s="553"/>
      <c r="G12" s="553"/>
      <c r="H12" s="554"/>
      <c r="I12" s="558"/>
      <c r="J12" s="559"/>
      <c r="K12" s="559"/>
      <c r="L12" s="559"/>
      <c r="M12" s="560"/>
      <c r="N12" s="558"/>
      <c r="O12" s="559"/>
      <c r="P12" s="559"/>
      <c r="Q12" s="559"/>
      <c r="R12" s="560"/>
      <c r="S12" s="558"/>
      <c r="T12" s="559"/>
      <c r="U12" s="559"/>
      <c r="V12" s="559"/>
      <c r="W12" s="560"/>
      <c r="X12" s="31"/>
      <c r="Y12" s="581" t="s">
        <v>69</v>
      </c>
      <c r="Z12" s="581"/>
      <c r="AA12" s="581"/>
      <c r="AB12" s="32"/>
      <c r="AC12" s="558"/>
      <c r="AD12" s="559"/>
      <c r="AE12" s="559"/>
      <c r="AF12" s="559"/>
      <c r="AG12" s="560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Y12" s="79"/>
      <c r="AZ12" s="79"/>
    </row>
    <row r="13" spans="1:52" s="3" customFormat="1" ht="15.6" customHeight="1" x14ac:dyDescent="0.15">
      <c r="A13" s="49"/>
      <c r="B13" s="215" t="s">
        <v>126</v>
      </c>
      <c r="C13" s="216"/>
      <c r="D13" s="216"/>
      <c r="E13" s="216"/>
      <c r="F13" s="216"/>
      <c r="G13" s="216"/>
      <c r="H13" s="217"/>
      <c r="I13" s="570">
        <v>2329</v>
      </c>
      <c r="J13" s="571"/>
      <c r="K13" s="571"/>
      <c r="L13" s="571"/>
      <c r="M13" s="572"/>
      <c r="N13" s="570">
        <v>3076</v>
      </c>
      <c r="O13" s="571"/>
      <c r="P13" s="571"/>
      <c r="Q13" s="571"/>
      <c r="R13" s="572"/>
      <c r="S13" s="570">
        <v>28</v>
      </c>
      <c r="T13" s="571"/>
      <c r="U13" s="571"/>
      <c r="V13" s="571"/>
      <c r="W13" s="572"/>
      <c r="X13" s="582">
        <f t="shared" ref="X13:X16" si="0">I13/S13</f>
        <v>83.178571428571431</v>
      </c>
      <c r="Y13" s="583"/>
      <c r="Z13" s="583"/>
      <c r="AA13" s="583"/>
      <c r="AB13" s="34"/>
      <c r="AC13" s="584">
        <v>13.65933373002833</v>
      </c>
      <c r="AD13" s="585"/>
      <c r="AE13" s="585"/>
      <c r="AF13" s="585"/>
      <c r="AG13" s="586"/>
      <c r="AH13" s="568"/>
      <c r="AI13" s="569"/>
      <c r="AJ13" s="569"/>
      <c r="AK13" s="569"/>
      <c r="AL13" s="16"/>
      <c r="AM13" s="18"/>
      <c r="AN13" s="16"/>
      <c r="AO13" s="16"/>
      <c r="AP13" s="16"/>
      <c r="AQ13" s="16"/>
      <c r="AR13" s="16"/>
      <c r="AS13" s="16"/>
      <c r="AT13" s="16"/>
      <c r="AU13" s="16"/>
      <c r="AY13" s="79"/>
      <c r="AZ13" s="79"/>
    </row>
    <row r="14" spans="1:52" s="3" customFormat="1" ht="15.6" customHeight="1" x14ac:dyDescent="0.15">
      <c r="A14" s="49"/>
      <c r="B14" s="215" t="s">
        <v>129</v>
      </c>
      <c r="C14" s="216"/>
      <c r="D14" s="216"/>
      <c r="E14" s="216"/>
      <c r="F14" s="216"/>
      <c r="G14" s="216"/>
      <c r="H14" s="217"/>
      <c r="I14" s="570">
        <v>2409</v>
      </c>
      <c r="J14" s="571"/>
      <c r="K14" s="571"/>
      <c r="L14" s="571"/>
      <c r="M14" s="572"/>
      <c r="N14" s="570">
        <v>3167</v>
      </c>
      <c r="O14" s="571"/>
      <c r="P14" s="571"/>
      <c r="Q14" s="571"/>
      <c r="R14" s="572"/>
      <c r="S14" s="573">
        <v>28</v>
      </c>
      <c r="T14" s="574"/>
      <c r="U14" s="574"/>
      <c r="V14" s="574"/>
      <c r="W14" s="575"/>
      <c r="X14" s="576">
        <f>I14/S14</f>
        <v>86.035714285714292</v>
      </c>
      <c r="Y14" s="577"/>
      <c r="Z14" s="577"/>
      <c r="AA14" s="577"/>
      <c r="AB14" s="23"/>
      <c r="AC14" s="578">
        <v>14.09717121808996</v>
      </c>
      <c r="AD14" s="579"/>
      <c r="AE14" s="579"/>
      <c r="AF14" s="579"/>
      <c r="AG14" s="580"/>
      <c r="AH14" s="568"/>
      <c r="AI14" s="569"/>
      <c r="AJ14" s="569"/>
      <c r="AK14" s="569"/>
      <c r="AL14" s="16"/>
      <c r="AM14" s="18"/>
      <c r="AN14" s="16"/>
      <c r="AO14" s="16"/>
      <c r="AP14" s="16"/>
      <c r="AQ14" s="16"/>
      <c r="AR14" s="16"/>
      <c r="AS14" s="16"/>
      <c r="AT14" s="16"/>
      <c r="AU14" s="16"/>
      <c r="AY14" s="79"/>
      <c r="AZ14" s="79"/>
    </row>
    <row r="15" spans="1:52" s="3" customFormat="1" ht="15.6" customHeight="1" x14ac:dyDescent="0.15">
      <c r="A15" s="49"/>
      <c r="B15" s="589" t="s">
        <v>144</v>
      </c>
      <c r="C15" s="589"/>
      <c r="D15" s="589"/>
      <c r="E15" s="589"/>
      <c r="F15" s="589"/>
      <c r="G15" s="589"/>
      <c r="H15" s="589"/>
      <c r="I15" s="570">
        <v>2478</v>
      </c>
      <c r="J15" s="571"/>
      <c r="K15" s="571"/>
      <c r="L15" s="571"/>
      <c r="M15" s="572"/>
      <c r="N15" s="570">
        <v>3222</v>
      </c>
      <c r="O15" s="571"/>
      <c r="P15" s="571"/>
      <c r="Q15" s="571"/>
      <c r="R15" s="572"/>
      <c r="S15" s="570">
        <v>29</v>
      </c>
      <c r="T15" s="571"/>
      <c r="U15" s="571"/>
      <c r="V15" s="571"/>
      <c r="W15" s="572"/>
      <c r="X15" s="576">
        <f t="shared" si="0"/>
        <v>85.448275862068968</v>
      </c>
      <c r="Y15" s="577"/>
      <c r="Z15" s="577"/>
      <c r="AA15" s="577"/>
      <c r="AB15" s="23"/>
      <c r="AC15" s="578">
        <v>14.375008365344719</v>
      </c>
      <c r="AD15" s="579"/>
      <c r="AE15" s="579"/>
      <c r="AF15" s="579"/>
      <c r="AG15" s="580"/>
      <c r="AH15" s="587"/>
      <c r="AI15" s="588"/>
      <c r="AJ15" s="588"/>
      <c r="AK15" s="588"/>
      <c r="AL15" s="14"/>
      <c r="AM15" s="18"/>
      <c r="AN15" s="14"/>
      <c r="AO15" s="16"/>
      <c r="AP15" s="16"/>
      <c r="AQ15" s="16"/>
      <c r="AR15" s="16"/>
      <c r="AS15" s="16"/>
      <c r="AT15" s="16"/>
      <c r="AU15" s="16"/>
      <c r="AY15" s="79"/>
      <c r="AZ15" s="79"/>
    </row>
    <row r="16" spans="1:52" s="3" customFormat="1" ht="15.6" customHeight="1" x14ac:dyDescent="0.15">
      <c r="A16" s="49"/>
      <c r="B16" s="589" t="s">
        <v>148</v>
      </c>
      <c r="C16" s="589"/>
      <c r="D16" s="589"/>
      <c r="E16" s="589"/>
      <c r="F16" s="589"/>
      <c r="G16" s="589"/>
      <c r="H16" s="589"/>
      <c r="I16" s="570">
        <v>2523</v>
      </c>
      <c r="J16" s="571"/>
      <c r="K16" s="571"/>
      <c r="L16" s="571"/>
      <c r="M16" s="572"/>
      <c r="N16" s="570">
        <v>3258</v>
      </c>
      <c r="O16" s="571"/>
      <c r="P16" s="571"/>
      <c r="Q16" s="571"/>
      <c r="R16" s="572"/>
      <c r="S16" s="570">
        <v>30</v>
      </c>
      <c r="T16" s="571"/>
      <c r="U16" s="571"/>
      <c r="V16" s="571"/>
      <c r="W16" s="572"/>
      <c r="X16" s="576">
        <f t="shared" si="0"/>
        <v>84.1</v>
      </c>
      <c r="Y16" s="577"/>
      <c r="Z16" s="577"/>
      <c r="AA16" s="577"/>
      <c r="AB16" s="23"/>
      <c r="AC16" s="578">
        <v>14.560112977181111</v>
      </c>
      <c r="AD16" s="579"/>
      <c r="AE16" s="579"/>
      <c r="AF16" s="579"/>
      <c r="AG16" s="580"/>
      <c r="AH16" s="587"/>
      <c r="AI16" s="588"/>
      <c r="AJ16" s="588"/>
      <c r="AK16" s="588"/>
      <c r="AL16" s="14"/>
      <c r="AM16" s="18"/>
      <c r="AN16" s="14"/>
      <c r="AO16" s="14"/>
      <c r="AP16" s="14"/>
      <c r="AQ16" s="14"/>
      <c r="AR16" s="14"/>
      <c r="AS16" s="14"/>
      <c r="AT16" s="14"/>
      <c r="AU16" s="14"/>
      <c r="AY16" s="79"/>
      <c r="AZ16" s="79"/>
    </row>
    <row r="17" spans="1:52" s="3" customFormat="1" ht="15.6" customHeight="1" x14ac:dyDescent="0.15">
      <c r="A17" s="49"/>
      <c r="B17" s="604" t="s">
        <v>169</v>
      </c>
      <c r="C17" s="604"/>
      <c r="D17" s="604"/>
      <c r="E17" s="604"/>
      <c r="F17" s="604"/>
      <c r="G17" s="604"/>
      <c r="H17" s="604"/>
      <c r="I17" s="605">
        <v>2564</v>
      </c>
      <c r="J17" s="606"/>
      <c r="K17" s="606"/>
      <c r="L17" s="606"/>
      <c r="M17" s="607"/>
      <c r="N17" s="605">
        <v>3302</v>
      </c>
      <c r="O17" s="606"/>
      <c r="P17" s="606"/>
      <c r="Q17" s="606"/>
      <c r="R17" s="607"/>
      <c r="S17" s="570">
        <v>31</v>
      </c>
      <c r="T17" s="571"/>
      <c r="U17" s="571"/>
      <c r="V17" s="571"/>
      <c r="W17" s="572"/>
      <c r="X17" s="576">
        <f>I17/S17</f>
        <v>82.709677419354833</v>
      </c>
      <c r="Y17" s="577"/>
      <c r="Z17" s="577"/>
      <c r="AA17" s="577"/>
      <c r="AB17" s="23"/>
      <c r="AC17" s="578">
        <v>14.773652608878509</v>
      </c>
      <c r="AD17" s="579"/>
      <c r="AE17" s="579"/>
      <c r="AF17" s="579"/>
      <c r="AG17" s="580"/>
      <c r="AH17" s="587"/>
      <c r="AI17" s="588"/>
      <c r="AJ17" s="588"/>
      <c r="AK17" s="588"/>
      <c r="AL17" s="14"/>
      <c r="AM17" s="14"/>
      <c r="AN17" s="14"/>
      <c r="AO17" s="14"/>
      <c r="AP17" s="14"/>
      <c r="AQ17" s="14"/>
      <c r="AR17" s="14"/>
      <c r="AS17" s="14"/>
      <c r="AT17" s="14"/>
      <c r="AU17" s="39"/>
      <c r="AV17" s="38"/>
      <c r="AX17" s="596"/>
      <c r="AY17" s="596"/>
      <c r="AZ17" s="79"/>
    </row>
    <row r="18" spans="1:52" s="3" customFormat="1" ht="15.6" customHeight="1" x14ac:dyDescent="0.15">
      <c r="A18" s="49"/>
      <c r="B18" s="597" t="s">
        <v>184</v>
      </c>
      <c r="C18" s="597"/>
      <c r="D18" s="597"/>
      <c r="E18" s="597"/>
      <c r="F18" s="597"/>
      <c r="G18" s="597"/>
      <c r="H18" s="597"/>
      <c r="I18" s="598">
        <v>2563</v>
      </c>
      <c r="J18" s="599"/>
      <c r="K18" s="599"/>
      <c r="L18" s="599"/>
      <c r="M18" s="600"/>
      <c r="N18" s="598">
        <v>3276</v>
      </c>
      <c r="O18" s="599"/>
      <c r="P18" s="599"/>
      <c r="Q18" s="599"/>
      <c r="R18" s="600"/>
      <c r="S18" s="570">
        <v>31</v>
      </c>
      <c r="T18" s="571"/>
      <c r="U18" s="571"/>
      <c r="V18" s="571"/>
      <c r="W18" s="572"/>
      <c r="X18" s="576">
        <f>I18/S18</f>
        <v>82.677419354838705</v>
      </c>
      <c r="Y18" s="577"/>
      <c r="Z18" s="577"/>
      <c r="AA18" s="577"/>
      <c r="AB18" s="23"/>
      <c r="AC18" s="578">
        <v>14.621670958844192</v>
      </c>
      <c r="AD18" s="579"/>
      <c r="AE18" s="579"/>
      <c r="AF18" s="579"/>
      <c r="AG18" s="580"/>
      <c r="AH18" s="587"/>
      <c r="AI18" s="822"/>
      <c r="AJ18" s="822"/>
      <c r="AK18" s="822"/>
      <c r="AL18" s="14"/>
      <c r="AM18" s="18"/>
      <c r="AN18" s="14"/>
      <c r="AO18" s="14"/>
      <c r="AP18" s="14"/>
      <c r="AQ18" s="14"/>
      <c r="AR18" s="14"/>
      <c r="AS18" s="14"/>
      <c r="AT18" s="14"/>
      <c r="AU18" s="39"/>
      <c r="AV18" s="38"/>
      <c r="AX18" s="197"/>
      <c r="AY18" s="197"/>
      <c r="AZ18" s="79"/>
    </row>
    <row r="19" spans="1:52" s="1" customFormat="1" ht="15.6" customHeight="1" x14ac:dyDescent="0.15">
      <c r="A19" s="49"/>
      <c r="B19" s="220"/>
      <c r="C19" s="16"/>
      <c r="D19" s="590" t="s">
        <v>79</v>
      </c>
      <c r="E19" s="590"/>
      <c r="F19" s="590"/>
      <c r="G19" s="590"/>
      <c r="H19" s="590"/>
      <c r="I19" s="591">
        <v>87</v>
      </c>
      <c r="J19" s="592"/>
      <c r="K19" s="592"/>
      <c r="L19" s="592"/>
      <c r="M19" s="593"/>
      <c r="N19" s="594">
        <v>173</v>
      </c>
      <c r="O19" s="594"/>
      <c r="P19" s="594"/>
      <c r="Q19" s="594"/>
      <c r="R19" s="594"/>
      <c r="S19" s="220"/>
      <c r="T19" s="18"/>
      <c r="U19" s="16"/>
      <c r="V19" s="16"/>
      <c r="W19" s="16"/>
      <c r="X19" s="16"/>
      <c r="Y19" s="16"/>
      <c r="Z19" s="16"/>
      <c r="AA19" s="16"/>
      <c r="AB19" s="196"/>
      <c r="AC19" s="196"/>
      <c r="AD19" s="196"/>
      <c r="AE19" s="196"/>
      <c r="AF19" s="16"/>
      <c r="AG19" s="16"/>
      <c r="AH19" s="16"/>
      <c r="AI19" s="71"/>
      <c r="AJ19" s="16"/>
      <c r="AK19" s="16"/>
      <c r="AL19" s="16"/>
      <c r="AM19" s="16"/>
      <c r="AN19" s="16"/>
      <c r="AO19" s="16"/>
      <c r="AY19" s="206"/>
      <c r="AZ19" s="206"/>
    </row>
    <row r="20" spans="1:52" s="1" customFormat="1" ht="15.6" customHeight="1" x14ac:dyDescent="0.15">
      <c r="A20" s="49"/>
      <c r="B20" s="220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545"/>
      <c r="AI20" s="545"/>
      <c r="AJ20" s="545"/>
      <c r="AK20" s="545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Y20" s="206"/>
      <c r="AZ20" s="206"/>
    </row>
    <row r="21" spans="1:52" s="14" customFormat="1" ht="15.6" customHeight="1" x14ac:dyDescent="0.15">
      <c r="A21" s="50" t="s">
        <v>124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24"/>
      <c r="X21" s="24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Y21" s="80"/>
      <c r="AZ21" s="80"/>
    </row>
    <row r="22" spans="1:52" s="14" customFormat="1" ht="15.6" customHeight="1" x14ac:dyDescent="0.15">
      <c r="A22" s="195" t="s">
        <v>171</v>
      </c>
      <c r="B22" s="25"/>
      <c r="C22" s="25"/>
      <c r="D22" s="209"/>
      <c r="E22" s="209"/>
      <c r="F22" s="209"/>
      <c r="G22" s="209"/>
      <c r="H22" s="22"/>
      <c r="I22" s="209"/>
      <c r="J22" s="209"/>
      <c r="K22" s="209"/>
      <c r="L22" s="1" t="s">
        <v>73</v>
      </c>
      <c r="M22" s="22"/>
      <c r="N22" s="209"/>
      <c r="O22" s="209"/>
      <c r="P22" s="209"/>
      <c r="Q22" s="209"/>
      <c r="R22" s="22"/>
      <c r="S22" s="223"/>
      <c r="T22" s="209"/>
      <c r="U22" s="209"/>
      <c r="V22" s="224"/>
      <c r="W22" s="224"/>
      <c r="X22" s="26"/>
      <c r="Y22" s="223"/>
      <c r="Z22" s="223"/>
      <c r="AA22" s="223"/>
      <c r="AB22" s="224"/>
      <c r="AC22" s="209"/>
      <c r="AD22" s="209"/>
      <c r="AE22" s="209"/>
      <c r="AF22" s="209"/>
      <c r="AG22" s="209"/>
      <c r="AH22" s="24"/>
      <c r="AI22" s="24"/>
      <c r="AJ22" s="24"/>
      <c r="AK22" s="24"/>
      <c r="AL22" s="24"/>
      <c r="AM22" s="24"/>
      <c r="AY22" s="80"/>
      <c r="AZ22" s="80"/>
    </row>
    <row r="23" spans="1:52" s="14" customFormat="1" ht="15.6" customHeight="1" x14ac:dyDescent="0.15">
      <c r="A23" s="52"/>
      <c r="B23" s="595" t="s">
        <v>14</v>
      </c>
      <c r="C23" s="595"/>
      <c r="D23" s="595" t="s">
        <v>15</v>
      </c>
      <c r="E23" s="595"/>
      <c r="F23" s="595"/>
      <c r="G23" s="595"/>
      <c r="H23" s="595"/>
      <c r="I23" s="595" t="s">
        <v>16</v>
      </c>
      <c r="J23" s="595"/>
      <c r="K23" s="595"/>
      <c r="L23" s="595"/>
      <c r="M23" s="595"/>
      <c r="N23" s="595" t="s">
        <v>17</v>
      </c>
      <c r="O23" s="595"/>
      <c r="P23" s="595"/>
      <c r="Q23" s="595"/>
      <c r="R23" s="595"/>
      <c r="S23" s="608" t="s">
        <v>18</v>
      </c>
      <c r="T23" s="609"/>
      <c r="U23" s="609"/>
      <c r="V23" s="609"/>
      <c r="W23" s="609"/>
      <c r="X23" s="610"/>
      <c r="Y23" s="608" t="s">
        <v>19</v>
      </c>
      <c r="Z23" s="609"/>
      <c r="AA23" s="609"/>
      <c r="AB23" s="609"/>
      <c r="AC23" s="609"/>
      <c r="AD23" s="610"/>
      <c r="AE23" s="608" t="s">
        <v>72</v>
      </c>
      <c r="AF23" s="609"/>
      <c r="AG23" s="610"/>
      <c r="AH23" s="13"/>
      <c r="AI23" s="13"/>
      <c r="AJ23" s="13"/>
      <c r="AK23" s="13"/>
      <c r="AL23" s="13"/>
      <c r="AM23" s="13"/>
      <c r="AY23" s="80"/>
      <c r="AZ23" s="80"/>
    </row>
    <row r="24" spans="1:52" s="14" customFormat="1" ht="15.6" customHeight="1" x14ac:dyDescent="0.15">
      <c r="A24" s="49"/>
      <c r="B24" s="611" t="s">
        <v>9</v>
      </c>
      <c r="C24" s="611"/>
      <c r="D24" s="612">
        <v>365</v>
      </c>
      <c r="E24" s="612"/>
      <c r="F24" s="612"/>
      <c r="G24" s="612"/>
      <c r="H24" s="612"/>
      <c r="I24" s="612">
        <f>SUM(L25:M28)</f>
        <v>29</v>
      </c>
      <c r="J24" s="612"/>
      <c r="K24" s="612"/>
      <c r="L24" s="612"/>
      <c r="M24" s="612"/>
      <c r="N24" s="612">
        <f>SUM(Q25:R29)</f>
        <v>20</v>
      </c>
      <c r="O24" s="612"/>
      <c r="P24" s="612"/>
      <c r="Q24" s="612"/>
      <c r="R24" s="612"/>
      <c r="S24" s="613">
        <v>327</v>
      </c>
      <c r="T24" s="614"/>
      <c r="U24" s="614"/>
      <c r="V24" s="614"/>
      <c r="W24" s="614"/>
      <c r="X24" s="615"/>
      <c r="Y24" s="613">
        <v>286</v>
      </c>
      <c r="Z24" s="614"/>
      <c r="AA24" s="614"/>
      <c r="AB24" s="614"/>
      <c r="AC24" s="614"/>
      <c r="AD24" s="615"/>
      <c r="AE24" s="613">
        <f>S24-Y24</f>
        <v>41</v>
      </c>
      <c r="AF24" s="614"/>
      <c r="AG24" s="615"/>
      <c r="AH24" s="16"/>
      <c r="AI24" s="13"/>
      <c r="AJ24" s="13"/>
      <c r="AK24" s="16"/>
      <c r="AL24" s="16"/>
      <c r="AM24" s="16"/>
      <c r="AY24" s="80"/>
      <c r="AZ24" s="80"/>
    </row>
    <row r="25" spans="1:52" s="14" customFormat="1" ht="15.6" customHeight="1" x14ac:dyDescent="0.15">
      <c r="A25" s="49"/>
      <c r="B25" s="632" t="s">
        <v>21</v>
      </c>
      <c r="C25" s="633"/>
      <c r="D25" s="624"/>
      <c r="E25" s="625"/>
      <c r="F25" s="625"/>
      <c r="G25" s="626"/>
      <c r="H25" s="627"/>
      <c r="I25" s="57" t="s">
        <v>22</v>
      </c>
      <c r="J25" s="58"/>
      <c r="K25" s="58"/>
      <c r="L25" s="622">
        <v>8</v>
      </c>
      <c r="M25" s="623"/>
      <c r="N25" s="57" t="s">
        <v>62</v>
      </c>
      <c r="O25" s="58"/>
      <c r="P25" s="58"/>
      <c r="Q25" s="622">
        <v>13</v>
      </c>
      <c r="R25" s="623"/>
      <c r="S25" s="202" t="s">
        <v>23</v>
      </c>
      <c r="T25" s="203"/>
      <c r="U25" s="203"/>
      <c r="V25" s="203"/>
      <c r="W25" s="622">
        <v>54</v>
      </c>
      <c r="X25" s="623"/>
      <c r="Y25" s="57" t="s">
        <v>97</v>
      </c>
      <c r="Z25" s="203"/>
      <c r="AA25" s="203"/>
      <c r="AB25" s="203"/>
      <c r="AC25" s="622">
        <v>0</v>
      </c>
      <c r="AD25" s="623"/>
      <c r="AE25" s="212"/>
      <c r="AF25" s="213"/>
      <c r="AG25" s="5"/>
      <c r="AH25" s="16"/>
      <c r="AI25" s="13"/>
      <c r="AJ25" s="13"/>
      <c r="AK25" s="16"/>
      <c r="AL25" s="16"/>
      <c r="AM25" s="16"/>
      <c r="AY25" s="80"/>
      <c r="AZ25" s="80"/>
    </row>
    <row r="26" spans="1:52" s="14" customFormat="1" ht="15.6" customHeight="1" x14ac:dyDescent="0.15">
      <c r="A26" s="49"/>
      <c r="B26" s="634"/>
      <c r="C26" s="635"/>
      <c r="D26" s="620"/>
      <c r="E26" s="621"/>
      <c r="F26" s="621"/>
      <c r="G26" s="621"/>
      <c r="H26" s="59"/>
      <c r="I26" s="60" t="s">
        <v>0</v>
      </c>
      <c r="J26" s="61"/>
      <c r="K26" s="61"/>
      <c r="L26" s="616">
        <v>2</v>
      </c>
      <c r="M26" s="617"/>
      <c r="N26" s="60" t="s">
        <v>3</v>
      </c>
      <c r="O26" s="61"/>
      <c r="P26" s="61"/>
      <c r="Q26" s="616">
        <v>0</v>
      </c>
      <c r="R26" s="617"/>
      <c r="S26" s="200" t="s">
        <v>90</v>
      </c>
      <c r="T26" s="201"/>
      <c r="U26" s="201"/>
      <c r="V26" s="201"/>
      <c r="W26" s="616">
        <v>1</v>
      </c>
      <c r="X26" s="617"/>
      <c r="Y26" s="60" t="s">
        <v>4</v>
      </c>
      <c r="Z26" s="61"/>
      <c r="AA26" s="61"/>
      <c r="AB26" s="61"/>
      <c r="AC26" s="616">
        <v>105</v>
      </c>
      <c r="AD26" s="617"/>
      <c r="AE26" s="210"/>
      <c r="AF26" s="211"/>
      <c r="AG26" s="6"/>
      <c r="AH26" s="16"/>
      <c r="AI26" s="13"/>
      <c r="AJ26" s="13"/>
      <c r="AK26" s="16"/>
      <c r="AL26" s="16"/>
      <c r="AM26" s="16"/>
      <c r="AY26" s="80"/>
      <c r="AZ26" s="80"/>
    </row>
    <row r="27" spans="1:52" s="14" customFormat="1" ht="15.6" customHeight="1" x14ac:dyDescent="0.15">
      <c r="A27" s="49"/>
      <c r="B27" s="634"/>
      <c r="C27" s="635"/>
      <c r="D27" s="620"/>
      <c r="E27" s="621"/>
      <c r="F27" s="621"/>
      <c r="G27" s="621"/>
      <c r="H27" s="59"/>
      <c r="I27" s="60" t="s">
        <v>61</v>
      </c>
      <c r="J27" s="61"/>
      <c r="K27" s="61"/>
      <c r="L27" s="616">
        <v>4</v>
      </c>
      <c r="M27" s="617"/>
      <c r="N27" s="60" t="s">
        <v>0</v>
      </c>
      <c r="O27" s="61"/>
      <c r="P27" s="61"/>
      <c r="Q27" s="616">
        <v>0</v>
      </c>
      <c r="R27" s="617"/>
      <c r="S27" s="200" t="s">
        <v>91</v>
      </c>
      <c r="T27" s="201"/>
      <c r="U27" s="201"/>
      <c r="V27" s="201"/>
      <c r="W27" s="616">
        <v>9</v>
      </c>
      <c r="X27" s="617"/>
      <c r="Y27" s="60" t="s">
        <v>2</v>
      </c>
      <c r="Z27" s="62"/>
      <c r="AA27" s="62"/>
      <c r="AB27" s="62"/>
      <c r="AC27" s="616">
        <v>17</v>
      </c>
      <c r="AD27" s="617"/>
      <c r="AE27" s="210"/>
      <c r="AF27" s="211"/>
      <c r="AG27" s="6"/>
      <c r="AH27" s="16"/>
      <c r="AI27" s="13"/>
      <c r="AJ27" s="13"/>
      <c r="AK27" s="16"/>
      <c r="AL27" s="16"/>
      <c r="AM27" s="16"/>
      <c r="AQ27" s="18"/>
      <c r="AY27" s="80"/>
      <c r="AZ27" s="80"/>
    </row>
    <row r="28" spans="1:52" s="14" customFormat="1" ht="15.6" customHeight="1" x14ac:dyDescent="0.15">
      <c r="A28" s="49"/>
      <c r="B28" s="634"/>
      <c r="C28" s="635"/>
      <c r="D28" s="620"/>
      <c r="E28" s="621"/>
      <c r="F28" s="621"/>
      <c r="G28" s="621"/>
      <c r="H28" s="59"/>
      <c r="I28" s="60" t="s">
        <v>60</v>
      </c>
      <c r="J28" s="61"/>
      <c r="K28" s="61"/>
      <c r="L28" s="616">
        <v>15</v>
      </c>
      <c r="M28" s="617"/>
      <c r="N28" s="60" t="s">
        <v>4</v>
      </c>
      <c r="O28" s="61"/>
      <c r="P28" s="61"/>
      <c r="Q28" s="616">
        <v>0</v>
      </c>
      <c r="R28" s="617"/>
      <c r="S28" s="200" t="s">
        <v>92</v>
      </c>
      <c r="T28" s="201"/>
      <c r="U28" s="201"/>
      <c r="V28" s="201"/>
      <c r="W28" s="616">
        <v>54</v>
      </c>
      <c r="X28" s="617"/>
      <c r="Y28" s="60" t="s">
        <v>98</v>
      </c>
      <c r="Z28" s="61"/>
      <c r="AA28" s="61"/>
      <c r="AB28" s="61"/>
      <c r="AC28" s="616">
        <v>48</v>
      </c>
      <c r="AD28" s="617"/>
      <c r="AE28" s="210"/>
      <c r="AF28" s="211"/>
      <c r="AG28" s="6"/>
      <c r="AH28" s="16"/>
      <c r="AI28" s="13"/>
      <c r="AJ28" s="13"/>
      <c r="AK28" s="16"/>
      <c r="AL28" s="16"/>
      <c r="AM28" s="16"/>
      <c r="AY28" s="80"/>
      <c r="AZ28" s="80"/>
    </row>
    <row r="29" spans="1:52" s="14" customFormat="1" ht="15.6" customHeight="1" x14ac:dyDescent="0.15">
      <c r="A29" s="49"/>
      <c r="B29" s="634"/>
      <c r="C29" s="635"/>
      <c r="D29" s="620"/>
      <c r="E29" s="621"/>
      <c r="F29" s="621"/>
      <c r="G29" s="621"/>
      <c r="H29" s="59"/>
      <c r="I29" s="60"/>
      <c r="J29" s="61"/>
      <c r="K29" s="61"/>
      <c r="L29" s="61"/>
      <c r="M29" s="63"/>
      <c r="N29" s="60" t="s">
        <v>60</v>
      </c>
      <c r="O29" s="61"/>
      <c r="P29" s="61"/>
      <c r="Q29" s="616">
        <v>7</v>
      </c>
      <c r="R29" s="617"/>
      <c r="S29" s="200" t="s">
        <v>94</v>
      </c>
      <c r="T29" s="201"/>
      <c r="U29" s="201"/>
      <c r="V29" s="201"/>
      <c r="W29" s="616">
        <v>16</v>
      </c>
      <c r="X29" s="617"/>
      <c r="Y29" s="60" t="s">
        <v>99</v>
      </c>
      <c r="Z29" s="61"/>
      <c r="AA29" s="61"/>
      <c r="AB29" s="61"/>
      <c r="AC29" s="618">
        <v>3</v>
      </c>
      <c r="AD29" s="619"/>
      <c r="AE29" s="210"/>
      <c r="AF29" s="211"/>
      <c r="AG29" s="6"/>
      <c r="AH29" s="16"/>
      <c r="AI29" s="13"/>
      <c r="AJ29" s="13"/>
      <c r="AK29" s="16"/>
      <c r="AL29" s="16"/>
      <c r="AM29" s="16"/>
      <c r="AY29" s="80"/>
      <c r="AZ29" s="80"/>
    </row>
    <row r="30" spans="1:52" s="14" customFormat="1" ht="15.6" customHeight="1" x14ac:dyDescent="0.15">
      <c r="A30" s="49"/>
      <c r="B30" s="634"/>
      <c r="C30" s="635"/>
      <c r="D30" s="200"/>
      <c r="E30" s="201"/>
      <c r="F30" s="201"/>
      <c r="G30" s="201"/>
      <c r="H30" s="59"/>
      <c r="I30" s="60"/>
      <c r="J30" s="61"/>
      <c r="K30" s="61"/>
      <c r="L30" s="61"/>
      <c r="M30" s="63"/>
      <c r="N30" s="60"/>
      <c r="O30" s="61"/>
      <c r="P30" s="61"/>
      <c r="Q30" s="198"/>
      <c r="R30" s="199"/>
      <c r="S30" s="200" t="s">
        <v>93</v>
      </c>
      <c r="T30" s="201"/>
      <c r="U30" s="201"/>
      <c r="V30" s="201"/>
      <c r="W30" s="616">
        <v>0</v>
      </c>
      <c r="X30" s="617"/>
      <c r="Y30" s="60" t="s">
        <v>100</v>
      </c>
      <c r="Z30" s="61"/>
      <c r="AA30" s="61"/>
      <c r="AB30" s="61"/>
      <c r="AC30" s="618">
        <v>12</v>
      </c>
      <c r="AD30" s="619"/>
      <c r="AE30" s="210"/>
      <c r="AF30" s="211"/>
      <c r="AG30" s="6"/>
      <c r="AH30" s="16"/>
      <c r="AI30" s="13"/>
      <c r="AJ30" s="13"/>
      <c r="AK30" s="16"/>
      <c r="AL30" s="16"/>
      <c r="AM30" s="16"/>
      <c r="AY30" s="80"/>
      <c r="AZ30" s="80"/>
    </row>
    <row r="31" spans="1:52" s="14" customFormat="1" ht="15.6" customHeight="1" x14ac:dyDescent="0.15">
      <c r="A31" s="49"/>
      <c r="B31" s="634"/>
      <c r="C31" s="635"/>
      <c r="D31" s="200"/>
      <c r="E31" s="201"/>
      <c r="F31" s="201"/>
      <c r="G31" s="201"/>
      <c r="H31" s="59"/>
      <c r="I31" s="60"/>
      <c r="J31" s="61"/>
      <c r="K31" s="61"/>
      <c r="L31" s="61"/>
      <c r="M31" s="63"/>
      <c r="N31" s="60"/>
      <c r="O31" s="61"/>
      <c r="P31" s="61"/>
      <c r="Q31" s="198"/>
      <c r="R31" s="199"/>
      <c r="S31" s="200" t="s">
        <v>95</v>
      </c>
      <c r="T31" s="201"/>
      <c r="U31" s="201"/>
      <c r="V31" s="201"/>
      <c r="W31" s="616">
        <v>29</v>
      </c>
      <c r="X31" s="617"/>
      <c r="Y31" s="60" t="s">
        <v>101</v>
      </c>
      <c r="Z31" s="61"/>
      <c r="AA31" s="61"/>
      <c r="AB31" s="61"/>
      <c r="AC31" s="618">
        <v>4</v>
      </c>
      <c r="AD31" s="619"/>
      <c r="AE31" s="210"/>
      <c r="AF31" s="211"/>
      <c r="AG31" s="6"/>
      <c r="AH31" s="16"/>
      <c r="AI31" s="16"/>
      <c r="AJ31" s="16"/>
      <c r="AK31" s="16"/>
      <c r="AL31" s="16"/>
      <c r="AM31" s="16"/>
      <c r="AY31" s="80"/>
      <c r="AZ31" s="80"/>
    </row>
    <row r="32" spans="1:52" s="14" customFormat="1" ht="15.6" customHeight="1" x14ac:dyDescent="0.15">
      <c r="A32" s="49"/>
      <c r="B32" s="634"/>
      <c r="C32" s="635"/>
      <c r="D32" s="200"/>
      <c r="E32" s="201"/>
      <c r="F32" s="201"/>
      <c r="G32" s="201"/>
      <c r="H32" s="59"/>
      <c r="I32" s="60"/>
      <c r="J32" s="61"/>
      <c r="K32" s="61"/>
      <c r="L32" s="61"/>
      <c r="M32" s="63"/>
      <c r="N32" s="60"/>
      <c r="O32" s="61"/>
      <c r="P32" s="61"/>
      <c r="Q32" s="198"/>
      <c r="R32" s="199"/>
      <c r="S32" s="200" t="s">
        <v>96</v>
      </c>
      <c r="T32" s="201"/>
      <c r="U32" s="201"/>
      <c r="V32" s="201"/>
      <c r="W32" s="616">
        <v>1</v>
      </c>
      <c r="X32" s="617"/>
      <c r="Y32" s="60" t="s">
        <v>103</v>
      </c>
      <c r="Z32" s="61"/>
      <c r="AA32" s="61"/>
      <c r="AB32" s="61"/>
      <c r="AC32" s="618">
        <v>22</v>
      </c>
      <c r="AD32" s="619"/>
      <c r="AE32" s="210"/>
      <c r="AF32" s="211"/>
      <c r="AG32" s="6"/>
      <c r="AH32" s="16"/>
      <c r="AI32" s="16"/>
      <c r="AJ32" s="16"/>
      <c r="AK32" s="16"/>
      <c r="AL32" s="16"/>
      <c r="AM32" s="16"/>
      <c r="AY32" s="80"/>
      <c r="AZ32" s="80"/>
    </row>
    <row r="33" spans="1:72" s="14" customFormat="1" ht="15.6" customHeight="1" x14ac:dyDescent="0.15">
      <c r="A33" s="49"/>
      <c r="B33" s="634"/>
      <c r="C33" s="635"/>
      <c r="D33" s="200"/>
      <c r="E33" s="201"/>
      <c r="F33" s="201"/>
      <c r="G33" s="201"/>
      <c r="H33" s="59"/>
      <c r="I33" s="60"/>
      <c r="J33" s="61"/>
      <c r="K33" s="61"/>
      <c r="L33" s="61"/>
      <c r="M33" s="63"/>
      <c r="N33" s="60"/>
      <c r="O33" s="61"/>
      <c r="P33" s="61"/>
      <c r="Q33" s="198"/>
      <c r="R33" s="199"/>
      <c r="S33" s="200" t="s">
        <v>80</v>
      </c>
      <c r="T33" s="201"/>
      <c r="U33" s="201"/>
      <c r="V33" s="201"/>
      <c r="W33" s="616">
        <v>112</v>
      </c>
      <c r="X33" s="617"/>
      <c r="Y33" s="60" t="s">
        <v>104</v>
      </c>
      <c r="Z33" s="61"/>
      <c r="AA33" s="61"/>
      <c r="AB33" s="61"/>
      <c r="AC33" s="618">
        <v>1</v>
      </c>
      <c r="AD33" s="619"/>
      <c r="AE33" s="210"/>
      <c r="AF33" s="211"/>
      <c r="AG33" s="6"/>
      <c r="AH33" s="16"/>
      <c r="AI33" s="16"/>
      <c r="AJ33" s="16"/>
      <c r="AK33" s="16"/>
      <c r="AL33" s="16"/>
      <c r="AM33" s="16"/>
      <c r="AY33" s="80"/>
      <c r="AZ33" s="80"/>
    </row>
    <row r="34" spans="1:72" s="3" customFormat="1" ht="15.6" customHeight="1" x14ac:dyDescent="0.15">
      <c r="A34" s="49"/>
      <c r="B34" s="634"/>
      <c r="C34" s="635"/>
      <c r="D34" s="200"/>
      <c r="E34" s="201"/>
      <c r="F34" s="201"/>
      <c r="G34" s="201"/>
      <c r="H34" s="59"/>
      <c r="I34" s="60"/>
      <c r="J34" s="61"/>
      <c r="K34" s="61"/>
      <c r="L34" s="61"/>
      <c r="M34" s="63"/>
      <c r="N34" s="60"/>
      <c r="O34" s="61"/>
      <c r="P34" s="61"/>
      <c r="Q34" s="198"/>
      <c r="R34" s="199"/>
      <c r="S34" s="200" t="s">
        <v>102</v>
      </c>
      <c r="T34" s="201"/>
      <c r="U34" s="201"/>
      <c r="V34" s="201"/>
      <c r="W34" s="616">
        <v>3</v>
      </c>
      <c r="X34" s="617"/>
      <c r="Y34" s="60" t="s">
        <v>105</v>
      </c>
      <c r="Z34" s="61"/>
      <c r="AA34" s="61"/>
      <c r="AB34" s="61"/>
      <c r="AC34" s="618">
        <v>45</v>
      </c>
      <c r="AD34" s="619"/>
      <c r="AE34" s="210"/>
      <c r="AF34" s="211"/>
      <c r="AG34" s="6"/>
      <c r="AH34" s="16"/>
      <c r="AI34" s="16"/>
      <c r="AJ34" s="16"/>
      <c r="AK34" s="16"/>
      <c r="AL34" s="16"/>
      <c r="AM34" s="16"/>
      <c r="AN34" s="14"/>
      <c r="AY34" s="79"/>
      <c r="AZ34" s="79"/>
    </row>
    <row r="35" spans="1:72" s="2" customFormat="1" ht="15.6" customHeight="1" x14ac:dyDescent="0.15">
      <c r="A35" s="49"/>
      <c r="B35" s="636"/>
      <c r="C35" s="637"/>
      <c r="D35" s="628"/>
      <c r="E35" s="629"/>
      <c r="F35" s="629"/>
      <c r="G35" s="629"/>
      <c r="H35" s="64"/>
      <c r="I35" s="65"/>
      <c r="J35" s="66"/>
      <c r="K35" s="66"/>
      <c r="L35" s="66"/>
      <c r="M35" s="67"/>
      <c r="N35" s="65"/>
      <c r="O35" s="66"/>
      <c r="P35" s="66"/>
      <c r="Q35" s="66"/>
      <c r="R35" s="67"/>
      <c r="S35" s="204" t="s">
        <v>24</v>
      </c>
      <c r="T35" s="205"/>
      <c r="U35" s="205"/>
      <c r="V35" s="205"/>
      <c r="W35" s="630">
        <v>48</v>
      </c>
      <c r="X35" s="631"/>
      <c r="Y35" s="65" t="s">
        <v>24</v>
      </c>
      <c r="Z35" s="68"/>
      <c r="AA35" s="66"/>
      <c r="AB35" s="66"/>
      <c r="AC35" s="630">
        <v>29</v>
      </c>
      <c r="AD35" s="631"/>
      <c r="AE35" s="208"/>
      <c r="AF35" s="209"/>
      <c r="AG35" s="8"/>
      <c r="AH35" s="16"/>
      <c r="AI35" s="16"/>
      <c r="AJ35" s="16"/>
      <c r="AK35" s="16"/>
      <c r="AL35" s="16"/>
      <c r="AM35" s="16"/>
      <c r="AN35" s="537"/>
      <c r="AY35" s="81"/>
      <c r="AZ35" s="81"/>
    </row>
    <row r="36" spans="1:72" s="14" customFormat="1" ht="15.6" customHeight="1" x14ac:dyDescent="0.15">
      <c r="A36" s="195" t="s">
        <v>185</v>
      </c>
      <c r="B36" s="227"/>
      <c r="C36" s="25"/>
      <c r="D36" s="209"/>
      <c r="E36" s="209"/>
      <c r="F36" s="209"/>
      <c r="G36" s="209"/>
      <c r="H36" s="48"/>
      <c r="I36" s="209"/>
      <c r="J36" s="209"/>
      <c r="K36" s="209"/>
      <c r="L36" s="209"/>
      <c r="M36" s="48"/>
      <c r="N36" s="209"/>
      <c r="O36" s="209"/>
      <c r="P36" s="209"/>
      <c r="Q36" s="209"/>
      <c r="R36" s="22"/>
      <c r="S36" s="223"/>
      <c r="T36" s="209"/>
      <c r="U36" s="209"/>
      <c r="V36" s="209"/>
      <c r="W36" s="224"/>
      <c r="X36" s="224"/>
      <c r="Y36" s="26"/>
      <c r="Z36" s="26"/>
      <c r="AA36" s="223"/>
      <c r="AB36" s="223"/>
      <c r="AC36" s="223"/>
      <c r="AD36" s="224"/>
      <c r="AE36" s="209"/>
      <c r="AF36" s="209"/>
      <c r="AG36" s="209"/>
      <c r="AH36" s="16"/>
      <c r="AI36" s="16"/>
      <c r="AJ36" s="16"/>
      <c r="AK36" s="16"/>
      <c r="AL36" s="18"/>
      <c r="AM36" s="16"/>
      <c r="AN36" s="17"/>
      <c r="AO36" s="10"/>
      <c r="AP36" s="10"/>
      <c r="AQ36" s="74"/>
      <c r="AR36" s="9"/>
      <c r="AS36" s="9"/>
      <c r="AT36" s="9"/>
      <c r="AU36" s="10"/>
      <c r="AV36" s="9"/>
      <c r="AW36" s="9"/>
      <c r="AX36" s="9"/>
      <c r="AY36" s="82"/>
      <c r="AZ36" s="82"/>
      <c r="BA36" s="9"/>
      <c r="BB36" s="9"/>
      <c r="BC36" s="9"/>
      <c r="BD36" s="9"/>
      <c r="BE36" s="10"/>
      <c r="BF36" s="9"/>
      <c r="BG36" s="9"/>
      <c r="BH36" s="9"/>
      <c r="BI36" s="11"/>
      <c r="BJ36" s="11"/>
      <c r="BK36" s="12"/>
      <c r="BL36" s="9"/>
      <c r="BM36" s="9"/>
      <c r="BN36" s="9"/>
      <c r="BO36" s="11"/>
      <c r="BP36" s="9"/>
      <c r="BQ36" s="9"/>
      <c r="BR36" s="9"/>
      <c r="BS36" s="9"/>
      <c r="BT36" s="211"/>
    </row>
    <row r="37" spans="1:72" s="14" customFormat="1" ht="15.6" customHeight="1" x14ac:dyDescent="0.15">
      <c r="A37" s="52"/>
      <c r="B37" s="595" t="s">
        <v>14</v>
      </c>
      <c r="C37" s="595"/>
      <c r="D37" s="595" t="s">
        <v>15</v>
      </c>
      <c r="E37" s="595"/>
      <c r="F37" s="595"/>
      <c r="G37" s="595"/>
      <c r="H37" s="595"/>
      <c r="I37" s="595" t="s">
        <v>16</v>
      </c>
      <c r="J37" s="595"/>
      <c r="K37" s="595"/>
      <c r="L37" s="595"/>
      <c r="M37" s="595"/>
      <c r="N37" s="595" t="s">
        <v>17</v>
      </c>
      <c r="O37" s="595"/>
      <c r="P37" s="595"/>
      <c r="Q37" s="595"/>
      <c r="R37" s="595"/>
      <c r="S37" s="608" t="s">
        <v>18</v>
      </c>
      <c r="T37" s="609"/>
      <c r="U37" s="609"/>
      <c r="V37" s="609"/>
      <c r="W37" s="609"/>
      <c r="X37" s="610"/>
      <c r="Y37" s="608" t="s">
        <v>19</v>
      </c>
      <c r="Z37" s="609"/>
      <c r="AA37" s="609"/>
      <c r="AB37" s="609"/>
      <c r="AC37" s="609"/>
      <c r="AD37" s="610"/>
      <c r="AE37" s="608" t="s">
        <v>72</v>
      </c>
      <c r="AF37" s="609"/>
      <c r="AG37" s="610"/>
      <c r="AH37" s="16"/>
      <c r="AI37" s="16"/>
      <c r="AJ37" s="16"/>
      <c r="AK37" s="16"/>
      <c r="AL37" s="16"/>
      <c r="AM37" s="16"/>
      <c r="AY37" s="80"/>
      <c r="AZ37" s="80"/>
    </row>
    <row r="38" spans="1:72" s="3" customFormat="1" ht="15.6" customHeight="1" x14ac:dyDescent="0.15">
      <c r="A38" s="49"/>
      <c r="B38" s="611" t="s">
        <v>9</v>
      </c>
      <c r="C38" s="611"/>
      <c r="D38" s="612">
        <f>25+35+25</f>
        <v>85</v>
      </c>
      <c r="E38" s="612"/>
      <c r="F38" s="612"/>
      <c r="G38" s="612"/>
      <c r="H38" s="612"/>
      <c r="I38" s="612">
        <f>3+4+5</f>
        <v>12</v>
      </c>
      <c r="J38" s="612"/>
      <c r="K38" s="612"/>
      <c r="L38" s="612"/>
      <c r="M38" s="612"/>
      <c r="N38" s="612">
        <f>1+0+4</f>
        <v>5</v>
      </c>
      <c r="O38" s="612"/>
      <c r="P38" s="612"/>
      <c r="Q38" s="612"/>
      <c r="R38" s="612"/>
      <c r="S38" s="638">
        <f>22+28+20</f>
        <v>70</v>
      </c>
      <c r="T38" s="639"/>
      <c r="U38" s="639"/>
      <c r="V38" s="639"/>
      <c r="W38" s="639"/>
      <c r="X38" s="640"/>
      <c r="Y38" s="638">
        <f>22+22+27</f>
        <v>71</v>
      </c>
      <c r="Z38" s="639"/>
      <c r="AA38" s="639"/>
      <c r="AB38" s="639"/>
      <c r="AC38" s="639"/>
      <c r="AD38" s="640"/>
      <c r="AE38" s="613">
        <f>S38-Y38</f>
        <v>-1</v>
      </c>
      <c r="AF38" s="614"/>
      <c r="AG38" s="615"/>
      <c r="AH38" s="537"/>
      <c r="AI38" s="537"/>
      <c r="AJ38" s="888"/>
      <c r="AK38" s="888"/>
      <c r="AL38" s="888"/>
      <c r="AM38" s="888"/>
      <c r="AN38" s="18"/>
      <c r="AY38" s="79"/>
      <c r="AZ38" s="79"/>
    </row>
    <row r="39" spans="1:72" s="3" customFormat="1" ht="15.6" customHeight="1" x14ac:dyDescent="0.15">
      <c r="A39" s="49"/>
      <c r="B39" s="632" t="s">
        <v>21</v>
      </c>
      <c r="C39" s="633"/>
      <c r="D39" s="624"/>
      <c r="E39" s="625"/>
      <c r="F39" s="625"/>
      <c r="G39" s="626"/>
      <c r="H39" s="627"/>
      <c r="I39" s="57" t="s">
        <v>22</v>
      </c>
      <c r="J39" s="58"/>
      <c r="K39" s="58"/>
      <c r="L39" s="622">
        <f>1+1</f>
        <v>2</v>
      </c>
      <c r="M39" s="623"/>
      <c r="N39" s="57" t="s">
        <v>62</v>
      </c>
      <c r="O39" s="58"/>
      <c r="P39" s="58"/>
      <c r="Q39" s="622">
        <f>1+2</f>
        <v>3</v>
      </c>
      <c r="R39" s="623"/>
      <c r="S39" s="202" t="s">
        <v>23</v>
      </c>
      <c r="T39" s="203"/>
      <c r="U39" s="203"/>
      <c r="V39" s="203"/>
      <c r="W39" s="622">
        <f>2+5+5</f>
        <v>12</v>
      </c>
      <c r="X39" s="623"/>
      <c r="Y39" s="57" t="s">
        <v>97</v>
      </c>
      <c r="Z39" s="203"/>
      <c r="AA39" s="203"/>
      <c r="AB39" s="203"/>
      <c r="AC39" s="622">
        <f>0+0+0</f>
        <v>0</v>
      </c>
      <c r="AD39" s="623"/>
      <c r="AE39" s="212"/>
      <c r="AF39" s="213"/>
      <c r="AG39" s="5"/>
      <c r="AH39" s="16"/>
      <c r="AI39" s="16"/>
      <c r="AJ39" s="643"/>
      <c r="AK39" s="643"/>
      <c r="AL39" s="643"/>
      <c r="AM39" s="643"/>
      <c r="AN39" s="14"/>
      <c r="AY39" s="79"/>
      <c r="AZ39" s="79"/>
    </row>
    <row r="40" spans="1:72" s="3" customFormat="1" ht="15.6" customHeight="1" x14ac:dyDescent="0.15">
      <c r="A40" s="49"/>
      <c r="B40" s="634"/>
      <c r="C40" s="635"/>
      <c r="D40" s="620"/>
      <c r="E40" s="621"/>
      <c r="F40" s="621"/>
      <c r="G40" s="621"/>
      <c r="H40" s="59"/>
      <c r="I40" s="60" t="s">
        <v>0</v>
      </c>
      <c r="J40" s="61"/>
      <c r="K40" s="61"/>
      <c r="L40" s="616">
        <f>1+0</f>
        <v>1</v>
      </c>
      <c r="M40" s="617"/>
      <c r="N40" s="60" t="s">
        <v>3</v>
      </c>
      <c r="O40" s="61"/>
      <c r="P40" s="61"/>
      <c r="Q40" s="616">
        <v>0</v>
      </c>
      <c r="R40" s="617"/>
      <c r="S40" s="200" t="s">
        <v>90</v>
      </c>
      <c r="T40" s="201"/>
      <c r="U40" s="201"/>
      <c r="V40" s="201"/>
      <c r="W40" s="616">
        <f>0+0+0</f>
        <v>0</v>
      </c>
      <c r="X40" s="617"/>
      <c r="Y40" s="60" t="s">
        <v>4</v>
      </c>
      <c r="Z40" s="61"/>
      <c r="AA40" s="61"/>
      <c r="AB40" s="61"/>
      <c r="AC40" s="616">
        <f>12+7+12</f>
        <v>31</v>
      </c>
      <c r="AD40" s="617"/>
      <c r="AE40" s="210"/>
      <c r="AF40" s="211"/>
      <c r="AG40" s="6"/>
      <c r="AH40" s="16"/>
      <c r="AI40" s="16"/>
      <c r="AJ40" s="16"/>
      <c r="AK40" s="16"/>
      <c r="AL40" s="16"/>
      <c r="AM40" s="16"/>
      <c r="AN40" s="14"/>
      <c r="AY40" s="79"/>
      <c r="AZ40" s="79"/>
    </row>
    <row r="41" spans="1:72" s="3" customFormat="1" ht="15.6" customHeight="1" x14ac:dyDescent="0.15">
      <c r="A41" s="49"/>
      <c r="B41" s="634"/>
      <c r="C41" s="635"/>
      <c r="D41" s="620"/>
      <c r="E41" s="621"/>
      <c r="F41" s="621"/>
      <c r="G41" s="621"/>
      <c r="H41" s="59"/>
      <c r="I41" s="60" t="s">
        <v>61</v>
      </c>
      <c r="J41" s="61"/>
      <c r="K41" s="61"/>
      <c r="L41" s="616">
        <f>0+0</f>
        <v>0</v>
      </c>
      <c r="M41" s="617"/>
      <c r="N41" s="60" t="s">
        <v>0</v>
      </c>
      <c r="O41" s="61"/>
      <c r="P41" s="61"/>
      <c r="Q41" s="616">
        <v>0</v>
      </c>
      <c r="R41" s="617"/>
      <c r="S41" s="200" t="s">
        <v>91</v>
      </c>
      <c r="T41" s="201"/>
      <c r="U41" s="201"/>
      <c r="V41" s="201"/>
      <c r="W41" s="616">
        <f>1+1+0</f>
        <v>2</v>
      </c>
      <c r="X41" s="617"/>
      <c r="Y41" s="60" t="s">
        <v>2</v>
      </c>
      <c r="Z41" s="62"/>
      <c r="AA41" s="62"/>
      <c r="AB41" s="62"/>
      <c r="AC41" s="616">
        <f>1+2+1</f>
        <v>4</v>
      </c>
      <c r="AD41" s="617"/>
      <c r="AE41" s="210"/>
      <c r="AF41" s="211"/>
      <c r="AG41" s="6"/>
      <c r="AH41" s="16"/>
      <c r="AI41" s="16"/>
      <c r="AJ41" s="643"/>
      <c r="AK41" s="643"/>
      <c r="AL41" s="643"/>
      <c r="AM41" s="643"/>
      <c r="AN41" s="14"/>
      <c r="AY41" s="79"/>
      <c r="AZ41" s="79"/>
    </row>
    <row r="42" spans="1:72" s="3" customFormat="1" ht="15.6" customHeight="1" x14ac:dyDescent="0.15">
      <c r="A42" s="49"/>
      <c r="B42" s="634"/>
      <c r="C42" s="635"/>
      <c r="D42" s="620"/>
      <c r="E42" s="621"/>
      <c r="F42" s="621"/>
      <c r="G42" s="621"/>
      <c r="H42" s="59"/>
      <c r="I42" s="60" t="s">
        <v>60</v>
      </c>
      <c r="J42" s="61"/>
      <c r="K42" s="61"/>
      <c r="L42" s="616">
        <f>1+3+5</f>
        <v>9</v>
      </c>
      <c r="M42" s="617"/>
      <c r="N42" s="60" t="s">
        <v>4</v>
      </c>
      <c r="O42" s="61"/>
      <c r="P42" s="61"/>
      <c r="Q42" s="616">
        <v>0</v>
      </c>
      <c r="R42" s="617"/>
      <c r="S42" s="200" t="s">
        <v>92</v>
      </c>
      <c r="T42" s="201"/>
      <c r="U42" s="201"/>
      <c r="V42" s="201"/>
      <c r="W42" s="616">
        <f>6+2+1</f>
        <v>9</v>
      </c>
      <c r="X42" s="617"/>
      <c r="Y42" s="60" t="s">
        <v>98</v>
      </c>
      <c r="Z42" s="61"/>
      <c r="AA42" s="61"/>
      <c r="AB42" s="61"/>
      <c r="AC42" s="616">
        <f>1+3+4</f>
        <v>8</v>
      </c>
      <c r="AD42" s="617"/>
      <c r="AE42" s="210"/>
      <c r="AF42" s="211"/>
      <c r="AG42" s="6"/>
      <c r="AH42" s="16"/>
      <c r="AI42" s="541"/>
      <c r="AJ42" s="16"/>
      <c r="AK42" s="16"/>
      <c r="AL42" s="16"/>
      <c r="AM42" s="16"/>
      <c r="AN42" s="14"/>
      <c r="AY42" s="79"/>
      <c r="AZ42" s="79"/>
    </row>
    <row r="43" spans="1:72" s="3" customFormat="1" ht="15.6" customHeight="1" x14ac:dyDescent="0.15">
      <c r="A43" s="49"/>
      <c r="B43" s="634"/>
      <c r="C43" s="635"/>
      <c r="D43" s="620"/>
      <c r="E43" s="621"/>
      <c r="F43" s="621"/>
      <c r="G43" s="621"/>
      <c r="H43" s="59"/>
      <c r="I43" s="60"/>
      <c r="J43" s="61"/>
      <c r="K43" s="61"/>
      <c r="L43" s="61"/>
      <c r="M43" s="63"/>
      <c r="N43" s="60" t="s">
        <v>60</v>
      </c>
      <c r="O43" s="61"/>
      <c r="P43" s="61"/>
      <c r="Q43" s="616">
        <f>0+2</f>
        <v>2</v>
      </c>
      <c r="R43" s="617"/>
      <c r="S43" s="200" t="s">
        <v>94</v>
      </c>
      <c r="T43" s="201"/>
      <c r="U43" s="201"/>
      <c r="V43" s="201"/>
      <c r="W43" s="616">
        <f>0+0+0</f>
        <v>0</v>
      </c>
      <c r="X43" s="617"/>
      <c r="Y43" s="60" t="s">
        <v>99</v>
      </c>
      <c r="Z43" s="61"/>
      <c r="AA43" s="61"/>
      <c r="AB43" s="61"/>
      <c r="AC43" s="618">
        <f>0+0+0</f>
        <v>0</v>
      </c>
      <c r="AD43" s="619"/>
      <c r="AE43" s="210"/>
      <c r="AF43" s="211"/>
      <c r="AG43" s="6"/>
      <c r="AH43" s="16"/>
      <c r="AI43" s="541"/>
      <c r="AJ43" s="16"/>
      <c r="AK43" s="16"/>
      <c r="AL43" s="16"/>
      <c r="AM43" s="16"/>
      <c r="AN43" s="14"/>
      <c r="AY43" s="79"/>
      <c r="AZ43" s="79"/>
    </row>
    <row r="44" spans="1:72" s="3" customFormat="1" ht="15.6" customHeight="1" x14ac:dyDescent="0.15">
      <c r="A44" s="49"/>
      <c r="B44" s="634"/>
      <c r="C44" s="635"/>
      <c r="D44" s="200"/>
      <c r="E44" s="201"/>
      <c r="F44" s="201"/>
      <c r="G44" s="201"/>
      <c r="H44" s="59"/>
      <c r="I44" s="60"/>
      <c r="J44" s="61"/>
      <c r="K44" s="61"/>
      <c r="L44" s="61"/>
      <c r="M44" s="63"/>
      <c r="N44" s="60"/>
      <c r="O44" s="61"/>
      <c r="P44" s="61"/>
      <c r="Q44" s="198"/>
      <c r="R44" s="199"/>
      <c r="S44" s="200" t="s">
        <v>93</v>
      </c>
      <c r="T44" s="201"/>
      <c r="U44" s="201"/>
      <c r="V44" s="201"/>
      <c r="W44" s="616">
        <f>0+0+0</f>
        <v>0</v>
      </c>
      <c r="X44" s="617"/>
      <c r="Y44" s="60" t="s">
        <v>100</v>
      </c>
      <c r="Z44" s="61"/>
      <c r="AA44" s="61"/>
      <c r="AB44" s="61"/>
      <c r="AC44" s="618">
        <f>0+1+0</f>
        <v>1</v>
      </c>
      <c r="AD44" s="619"/>
      <c r="AE44" s="210"/>
      <c r="AF44" s="211"/>
      <c r="AG44" s="6"/>
      <c r="AH44" s="16"/>
      <c r="AI44" s="541"/>
      <c r="AJ44" s="16"/>
      <c r="AK44" s="16"/>
      <c r="AL44" s="16"/>
      <c r="AM44" s="16"/>
      <c r="AN44" s="14"/>
      <c r="AY44" s="79"/>
      <c r="AZ44" s="79"/>
    </row>
    <row r="45" spans="1:72" s="3" customFormat="1" ht="15.6" customHeight="1" x14ac:dyDescent="0.15">
      <c r="A45" s="49"/>
      <c r="B45" s="634"/>
      <c r="C45" s="635"/>
      <c r="D45" s="200"/>
      <c r="E45" s="201"/>
      <c r="F45" s="201"/>
      <c r="G45" s="201"/>
      <c r="H45" s="59"/>
      <c r="I45" s="60"/>
      <c r="J45" s="61"/>
      <c r="K45" s="61"/>
      <c r="L45" s="61"/>
      <c r="M45" s="63"/>
      <c r="N45" s="60"/>
      <c r="O45" s="61"/>
      <c r="P45" s="61"/>
      <c r="Q45" s="198"/>
      <c r="R45" s="199"/>
      <c r="S45" s="200" t="s">
        <v>95</v>
      </c>
      <c r="T45" s="201"/>
      <c r="U45" s="201"/>
      <c r="V45" s="201"/>
      <c r="W45" s="616">
        <f>0+3+4</f>
        <v>7</v>
      </c>
      <c r="X45" s="617"/>
      <c r="Y45" s="60" t="s">
        <v>101</v>
      </c>
      <c r="Z45" s="61"/>
      <c r="AA45" s="61"/>
      <c r="AB45" s="61"/>
      <c r="AC45" s="618">
        <f>0+0+0</f>
        <v>0</v>
      </c>
      <c r="AD45" s="619"/>
      <c r="AE45" s="210"/>
      <c r="AF45" s="211"/>
      <c r="AG45" s="6"/>
      <c r="AH45" s="16"/>
      <c r="AI45" s="541"/>
      <c r="AJ45" s="16"/>
      <c r="AK45" s="16"/>
      <c r="AL45" s="16"/>
      <c r="AM45" s="16"/>
      <c r="AN45" s="14"/>
      <c r="AY45" s="79"/>
      <c r="AZ45" s="79"/>
    </row>
    <row r="46" spans="1:72" s="3" customFormat="1" ht="15.6" customHeight="1" x14ac:dyDescent="0.15">
      <c r="A46" s="49"/>
      <c r="B46" s="634"/>
      <c r="C46" s="635"/>
      <c r="D46" s="200"/>
      <c r="E46" s="201"/>
      <c r="F46" s="201"/>
      <c r="G46" s="201"/>
      <c r="H46" s="59"/>
      <c r="I46" s="60"/>
      <c r="J46" s="61"/>
      <c r="K46" s="61"/>
      <c r="L46" s="61"/>
      <c r="M46" s="63"/>
      <c r="N46" s="60"/>
      <c r="O46" s="61"/>
      <c r="P46" s="61"/>
      <c r="Q46" s="198"/>
      <c r="R46" s="199"/>
      <c r="S46" s="200" t="s">
        <v>96</v>
      </c>
      <c r="T46" s="201"/>
      <c r="U46" s="201"/>
      <c r="V46" s="201"/>
      <c r="W46" s="616">
        <f>0+0+1</f>
        <v>1</v>
      </c>
      <c r="X46" s="617"/>
      <c r="Y46" s="60" t="s">
        <v>103</v>
      </c>
      <c r="Z46" s="61"/>
      <c r="AA46" s="61"/>
      <c r="AB46" s="61"/>
      <c r="AC46" s="618">
        <f>1+5+1</f>
        <v>7</v>
      </c>
      <c r="AD46" s="619"/>
      <c r="AE46" s="210"/>
      <c r="AF46" s="211"/>
      <c r="AG46" s="6"/>
      <c r="AH46" s="16"/>
      <c r="AI46" s="541"/>
      <c r="AJ46" s="16"/>
      <c r="AK46" s="16"/>
      <c r="AL46" s="16"/>
      <c r="AM46" s="16"/>
      <c r="AN46" s="14"/>
      <c r="AY46" s="79"/>
      <c r="AZ46" s="79"/>
    </row>
    <row r="47" spans="1:72" s="3" customFormat="1" ht="15.6" customHeight="1" x14ac:dyDescent="0.15">
      <c r="A47" s="49"/>
      <c r="B47" s="634"/>
      <c r="C47" s="635"/>
      <c r="D47" s="200"/>
      <c r="E47" s="201"/>
      <c r="F47" s="201"/>
      <c r="G47" s="201"/>
      <c r="H47" s="59"/>
      <c r="I47" s="60"/>
      <c r="J47" s="61"/>
      <c r="K47" s="61"/>
      <c r="L47" s="61"/>
      <c r="M47" s="63"/>
      <c r="N47" s="60"/>
      <c r="O47" s="61"/>
      <c r="P47" s="61"/>
      <c r="Q47" s="198"/>
      <c r="R47" s="199"/>
      <c r="S47" s="200" t="s">
        <v>80</v>
      </c>
      <c r="T47" s="201"/>
      <c r="U47" s="201"/>
      <c r="V47" s="201"/>
      <c r="W47" s="616">
        <f>12+14+8</f>
        <v>34</v>
      </c>
      <c r="X47" s="617"/>
      <c r="Y47" s="60" t="s">
        <v>104</v>
      </c>
      <c r="Z47" s="61"/>
      <c r="AA47" s="61"/>
      <c r="AB47" s="61"/>
      <c r="AC47" s="618">
        <f>0+0+0</f>
        <v>0</v>
      </c>
      <c r="AD47" s="619"/>
      <c r="AE47" s="210"/>
      <c r="AF47" s="211"/>
      <c r="AG47" s="6"/>
      <c r="AH47" s="16"/>
      <c r="AI47" s="16"/>
      <c r="AJ47" s="16"/>
      <c r="AK47" s="16"/>
      <c r="AL47" s="16"/>
      <c r="AM47" s="16"/>
      <c r="AN47" s="14"/>
      <c r="AY47" s="79"/>
      <c r="AZ47" s="79"/>
    </row>
    <row r="48" spans="1:72" s="3" customFormat="1" ht="15.6" customHeight="1" x14ac:dyDescent="0.15">
      <c r="A48" s="49"/>
      <c r="B48" s="634"/>
      <c r="C48" s="635"/>
      <c r="D48" s="200"/>
      <c r="E48" s="201"/>
      <c r="F48" s="201"/>
      <c r="G48" s="201"/>
      <c r="H48" s="59"/>
      <c r="I48" s="60"/>
      <c r="J48" s="61"/>
      <c r="K48" s="61"/>
      <c r="L48" s="61"/>
      <c r="M48" s="63"/>
      <c r="N48" s="60"/>
      <c r="O48" s="61"/>
      <c r="P48" s="61"/>
      <c r="Q48" s="198"/>
      <c r="R48" s="199"/>
      <c r="S48" s="200" t="s">
        <v>102</v>
      </c>
      <c r="T48" s="201"/>
      <c r="U48" s="201"/>
      <c r="V48" s="201"/>
      <c r="W48" s="616">
        <f>0+0+0</f>
        <v>0</v>
      </c>
      <c r="X48" s="617"/>
      <c r="Y48" s="60" t="s">
        <v>105</v>
      </c>
      <c r="Z48" s="61"/>
      <c r="AA48" s="61"/>
      <c r="AB48" s="61"/>
      <c r="AC48" s="618">
        <f>2+4+7</f>
        <v>13</v>
      </c>
      <c r="AD48" s="619"/>
      <c r="AE48" s="210"/>
      <c r="AF48" s="211"/>
      <c r="AG48" s="6"/>
      <c r="AH48" s="16"/>
      <c r="AI48" s="16"/>
      <c r="AJ48" s="16"/>
      <c r="AK48" s="16"/>
      <c r="AL48" s="16"/>
      <c r="AM48" s="16"/>
      <c r="AN48" s="14"/>
      <c r="AY48" s="79"/>
      <c r="AZ48" s="79"/>
    </row>
    <row r="49" spans="1:52" s="3" customFormat="1" ht="15.6" customHeight="1" x14ac:dyDescent="0.15">
      <c r="A49" s="49"/>
      <c r="B49" s="636"/>
      <c r="C49" s="637"/>
      <c r="D49" s="628"/>
      <c r="E49" s="629"/>
      <c r="F49" s="629"/>
      <c r="G49" s="629"/>
      <c r="H49" s="64"/>
      <c r="I49" s="65"/>
      <c r="J49" s="66"/>
      <c r="K49" s="66"/>
      <c r="L49" s="66"/>
      <c r="M49" s="67"/>
      <c r="N49" s="65"/>
      <c r="O49" s="66"/>
      <c r="P49" s="66"/>
      <c r="Q49" s="66"/>
      <c r="R49" s="67"/>
      <c r="S49" s="204" t="s">
        <v>24</v>
      </c>
      <c r="T49" s="205"/>
      <c r="U49" s="205"/>
      <c r="V49" s="205"/>
      <c r="W49" s="630">
        <f>1+3+1</f>
        <v>5</v>
      </c>
      <c r="X49" s="631"/>
      <c r="Y49" s="65" t="s">
        <v>24</v>
      </c>
      <c r="Z49" s="68"/>
      <c r="AA49" s="66"/>
      <c r="AB49" s="66"/>
      <c r="AC49" s="630">
        <f>5+0+2</f>
        <v>7</v>
      </c>
      <c r="AD49" s="631"/>
      <c r="AE49" s="208"/>
      <c r="AF49" s="209"/>
      <c r="AG49" s="8"/>
      <c r="AH49" s="16"/>
      <c r="AI49" s="16"/>
      <c r="AJ49" s="16"/>
      <c r="AK49" s="16"/>
      <c r="AL49" s="16"/>
      <c r="AM49" s="16"/>
      <c r="AN49" s="14"/>
      <c r="AY49" s="79"/>
      <c r="AZ49" s="79"/>
    </row>
    <row r="50" spans="1:52" s="3" customFormat="1" ht="15.6" customHeight="1" x14ac:dyDescent="0.15">
      <c r="A50" s="49"/>
      <c r="B50" s="218"/>
      <c r="C50" s="218"/>
      <c r="D50" s="211"/>
      <c r="E50" s="211"/>
      <c r="F50" s="211"/>
      <c r="G50" s="211"/>
      <c r="H50" s="211"/>
      <c r="I50" s="211"/>
      <c r="J50" s="211"/>
      <c r="K50" s="211"/>
      <c r="L50" s="211"/>
      <c r="M50" s="211"/>
      <c r="N50" s="211"/>
      <c r="O50" s="211"/>
      <c r="P50" s="221"/>
      <c r="Q50" s="221"/>
      <c r="R50" s="218"/>
      <c r="S50" s="211"/>
      <c r="T50" s="211"/>
      <c r="U50" s="211"/>
      <c r="V50" s="211"/>
      <c r="W50" s="219"/>
      <c r="X50" s="219"/>
      <c r="Y50" s="221"/>
      <c r="Z50" s="37"/>
      <c r="AA50" s="221"/>
      <c r="AB50" s="221"/>
      <c r="AC50" s="219"/>
      <c r="AD50" s="219"/>
      <c r="AE50" s="211"/>
      <c r="AF50" s="211"/>
      <c r="AG50" s="211"/>
      <c r="AH50" s="16"/>
      <c r="AI50" s="16"/>
      <c r="AJ50" s="16"/>
      <c r="AK50" s="16"/>
      <c r="AL50" s="16"/>
      <c r="AM50" s="16"/>
      <c r="AN50" s="14"/>
      <c r="AY50" s="79"/>
      <c r="AZ50" s="79"/>
    </row>
    <row r="51" spans="1:52" s="3" customFormat="1" ht="15.6" customHeight="1" x14ac:dyDescent="0.15">
      <c r="A51" s="49"/>
      <c r="B51" s="218"/>
      <c r="C51" s="218"/>
      <c r="D51" s="211"/>
      <c r="E51" s="211"/>
      <c r="F51" s="211"/>
      <c r="G51" s="211"/>
      <c r="H51" s="211"/>
      <c r="I51" s="211"/>
      <c r="J51" s="211"/>
      <c r="K51" s="211"/>
      <c r="L51" s="211"/>
      <c r="M51" s="211"/>
      <c r="N51" s="211"/>
      <c r="O51" s="211"/>
      <c r="P51" s="221"/>
      <c r="Q51" s="221"/>
      <c r="R51" s="218"/>
      <c r="S51" s="211"/>
      <c r="T51" s="211"/>
      <c r="U51" s="211"/>
      <c r="V51" s="211"/>
      <c r="W51" s="219"/>
      <c r="X51" s="219"/>
      <c r="Y51" s="221"/>
      <c r="Z51" s="37"/>
      <c r="AA51" s="221"/>
      <c r="AB51" s="221"/>
      <c r="AC51" s="219"/>
      <c r="AD51" s="219"/>
      <c r="AE51" s="211"/>
      <c r="AF51" s="211"/>
      <c r="AG51" s="211"/>
      <c r="AH51" s="16"/>
      <c r="AI51" s="16"/>
      <c r="AJ51" s="16"/>
      <c r="AK51" s="16"/>
      <c r="AL51" s="16"/>
      <c r="AM51" s="16"/>
      <c r="AN51" s="14"/>
      <c r="AY51" s="79"/>
      <c r="AZ51" s="79"/>
    </row>
    <row r="52" spans="1:52" s="3" customFormat="1" ht="15.6" customHeight="1" x14ac:dyDescent="0.15">
      <c r="A52" s="49"/>
      <c r="B52" s="218"/>
      <c r="C52" s="218"/>
      <c r="D52" s="211"/>
      <c r="E52" s="211"/>
      <c r="F52" s="211"/>
      <c r="G52" s="211"/>
      <c r="H52" s="211"/>
      <c r="I52" s="211"/>
      <c r="J52" s="211"/>
      <c r="K52" s="211"/>
      <c r="L52" s="211"/>
      <c r="M52" s="211"/>
      <c r="N52" s="211"/>
      <c r="O52" s="211"/>
      <c r="P52" s="221"/>
      <c r="Q52" s="221"/>
      <c r="R52" s="218"/>
      <c r="S52" s="211"/>
      <c r="T52" s="211"/>
      <c r="U52" s="211"/>
      <c r="V52" s="211"/>
      <c r="W52" s="219"/>
      <c r="X52" s="219"/>
      <c r="Y52" s="221"/>
      <c r="Z52" s="37"/>
      <c r="AA52" s="221"/>
      <c r="AB52" s="221"/>
      <c r="AC52" s="219"/>
      <c r="AD52" s="219"/>
      <c r="AE52" s="211"/>
      <c r="AF52" s="211"/>
      <c r="AG52" s="211"/>
      <c r="AH52" s="16"/>
      <c r="AI52" s="16"/>
      <c r="AJ52" s="16"/>
      <c r="AK52" s="16"/>
      <c r="AL52" s="16"/>
      <c r="AM52" s="16"/>
      <c r="AN52" s="14"/>
      <c r="AY52" s="79"/>
      <c r="AZ52" s="79"/>
    </row>
    <row r="53" spans="1:52" s="3" customFormat="1" ht="15.6" customHeight="1" x14ac:dyDescent="0.15">
      <c r="A53" s="49"/>
      <c r="B53" s="218"/>
      <c r="C53" s="218"/>
      <c r="D53" s="211"/>
      <c r="E53" s="211"/>
      <c r="F53" s="211"/>
      <c r="G53" s="211"/>
      <c r="H53" s="211"/>
      <c r="I53" s="211"/>
      <c r="J53" s="211"/>
      <c r="K53" s="211"/>
      <c r="L53" s="211"/>
      <c r="M53" s="211"/>
      <c r="N53" s="211"/>
      <c r="O53" s="211"/>
      <c r="P53" s="221"/>
      <c r="Q53" s="221"/>
      <c r="R53" s="218"/>
      <c r="S53" s="211"/>
      <c r="T53" s="211"/>
      <c r="U53" s="211"/>
      <c r="V53" s="211"/>
      <c r="W53" s="219"/>
      <c r="X53" s="219"/>
      <c r="Y53" s="221"/>
      <c r="Z53" s="37"/>
      <c r="AA53" s="221"/>
      <c r="AB53" s="221"/>
      <c r="AC53" s="219"/>
      <c r="AD53" s="219"/>
      <c r="AE53" s="211"/>
      <c r="AF53" s="211"/>
      <c r="AG53" s="211"/>
      <c r="AH53" s="16"/>
      <c r="AI53" s="16"/>
      <c r="AJ53" s="16"/>
      <c r="AK53" s="16"/>
      <c r="AL53" s="16"/>
      <c r="AM53" s="16"/>
      <c r="AN53" s="14"/>
      <c r="AY53" s="79"/>
      <c r="AZ53" s="79"/>
    </row>
    <row r="54" spans="1:52" s="3" customFormat="1" ht="15.6" customHeight="1" x14ac:dyDescent="0.15">
      <c r="A54" s="49"/>
      <c r="B54" s="218"/>
      <c r="C54" s="218"/>
      <c r="D54" s="211"/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1"/>
      <c r="P54" s="221"/>
      <c r="Q54" s="221"/>
      <c r="R54" s="218"/>
      <c r="S54" s="211"/>
      <c r="T54" s="211"/>
      <c r="U54" s="211"/>
      <c r="V54" s="211"/>
      <c r="W54" s="219"/>
      <c r="X54" s="219"/>
      <c r="Y54" s="221"/>
      <c r="Z54" s="37"/>
      <c r="AA54" s="221"/>
      <c r="AB54" s="221"/>
      <c r="AC54" s="219"/>
      <c r="AD54" s="219"/>
      <c r="AE54" s="211"/>
      <c r="AF54" s="211"/>
      <c r="AG54" s="211"/>
      <c r="AH54" s="16"/>
      <c r="AI54" s="16"/>
      <c r="AJ54" s="16"/>
      <c r="AK54" s="16"/>
      <c r="AL54" s="16"/>
      <c r="AM54" s="16"/>
      <c r="AN54" s="14"/>
      <c r="AY54" s="79"/>
      <c r="AZ54" s="79"/>
    </row>
    <row r="55" spans="1:52" s="3" customFormat="1" ht="15.6" customHeight="1" x14ac:dyDescent="0.15">
      <c r="A55" s="50" t="s">
        <v>125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4"/>
      <c r="AY55" s="79"/>
      <c r="AZ55" s="79"/>
    </row>
    <row r="56" spans="1:52" s="3" customFormat="1" ht="15.6" customHeight="1" x14ac:dyDescent="0.15">
      <c r="A56" s="54"/>
      <c r="B56" s="644" t="s">
        <v>25</v>
      </c>
      <c r="C56" s="645"/>
      <c r="D56" s="645"/>
      <c r="E56" s="646"/>
      <c r="F56" s="647" t="s">
        <v>26</v>
      </c>
      <c r="G56" s="647"/>
      <c r="H56" s="647"/>
      <c r="I56" s="647"/>
      <c r="J56" s="647" t="s">
        <v>83</v>
      </c>
      <c r="K56" s="647"/>
      <c r="L56" s="647"/>
      <c r="M56" s="647"/>
      <c r="N56" s="647" t="s">
        <v>27</v>
      </c>
      <c r="O56" s="647"/>
      <c r="P56" s="647"/>
      <c r="Q56" s="647"/>
      <c r="R56" s="647" t="s">
        <v>84</v>
      </c>
      <c r="S56" s="647"/>
      <c r="T56" s="647"/>
      <c r="U56" s="647"/>
      <c r="V56" s="647" t="s">
        <v>85</v>
      </c>
      <c r="W56" s="647"/>
      <c r="X56" s="647"/>
      <c r="Y56" s="647"/>
      <c r="Z56" s="647" t="s">
        <v>28</v>
      </c>
      <c r="AA56" s="647"/>
      <c r="AB56" s="647"/>
      <c r="AC56" s="647"/>
      <c r="AD56" s="644" t="s">
        <v>29</v>
      </c>
      <c r="AE56" s="645"/>
      <c r="AF56" s="645"/>
      <c r="AG56" s="646"/>
      <c r="AH56" s="16"/>
      <c r="AI56" s="16"/>
      <c r="AJ56" s="16"/>
      <c r="AK56" s="16"/>
      <c r="AL56" s="16"/>
      <c r="AM56" s="16"/>
      <c r="AN56" s="14"/>
      <c r="AY56" s="79"/>
      <c r="AZ56" s="79"/>
    </row>
    <row r="57" spans="1:52" s="14" customFormat="1" ht="15.6" customHeight="1" x14ac:dyDescent="0.15">
      <c r="B57" s="701" t="s">
        <v>191</v>
      </c>
      <c r="C57" s="702"/>
      <c r="D57" s="702"/>
      <c r="E57" s="703"/>
      <c r="F57" s="829" t="s">
        <v>9</v>
      </c>
      <c r="G57" s="830"/>
      <c r="H57" s="830"/>
      <c r="I57" s="831"/>
      <c r="J57" s="613">
        <f>1282+3</f>
        <v>1285</v>
      </c>
      <c r="K57" s="614"/>
      <c r="L57" s="614"/>
      <c r="M57" s="615"/>
      <c r="N57" s="613">
        <v>112</v>
      </c>
      <c r="O57" s="614"/>
      <c r="P57" s="614"/>
      <c r="Q57" s="615"/>
      <c r="R57" s="613">
        <v>372</v>
      </c>
      <c r="S57" s="614"/>
      <c r="T57" s="614"/>
      <c r="U57" s="615"/>
      <c r="V57" s="613">
        <v>289</v>
      </c>
      <c r="W57" s="614"/>
      <c r="X57" s="614"/>
      <c r="Y57" s="615"/>
      <c r="Z57" s="613">
        <f>503+2</f>
        <v>505</v>
      </c>
      <c r="AA57" s="614"/>
      <c r="AB57" s="614"/>
      <c r="AC57" s="615"/>
      <c r="AD57" s="613">
        <f>SUM(J57:AC57)</f>
        <v>2563</v>
      </c>
      <c r="AE57" s="614"/>
      <c r="AF57" s="614"/>
      <c r="AG57" s="615"/>
      <c r="AQ57" s="85"/>
      <c r="AR57" s="85"/>
      <c r="AY57" s="80"/>
      <c r="AZ57" s="80"/>
    </row>
    <row r="58" spans="1:52" s="14" customFormat="1" ht="15.6" customHeight="1" x14ac:dyDescent="0.15">
      <c r="B58" s="711"/>
      <c r="C58" s="712"/>
      <c r="D58" s="712"/>
      <c r="E58" s="713"/>
      <c r="F58" s="832" t="s">
        <v>30</v>
      </c>
      <c r="G58" s="833"/>
      <c r="H58" s="833"/>
      <c r="I58" s="834"/>
      <c r="J58" s="835">
        <f>J57/$AD$57</f>
        <v>0.50136558720249702</v>
      </c>
      <c r="K58" s="836"/>
      <c r="L58" s="836"/>
      <c r="M58" s="837"/>
      <c r="N58" s="835">
        <f>N57/$AD$57</f>
        <v>4.3698790479906359E-2</v>
      </c>
      <c r="O58" s="836"/>
      <c r="P58" s="836"/>
      <c r="Q58" s="837"/>
      <c r="R58" s="835">
        <f>R57/$AD$57</f>
        <v>0.14514241123683183</v>
      </c>
      <c r="S58" s="836"/>
      <c r="T58" s="836"/>
      <c r="U58" s="837"/>
      <c r="V58" s="835">
        <f>V57/$AD$57</f>
        <v>0.11275848614904409</v>
      </c>
      <c r="W58" s="836"/>
      <c r="X58" s="836"/>
      <c r="Y58" s="837"/>
      <c r="Z58" s="835">
        <f>Z57/$AD$57</f>
        <v>0.19703472493172064</v>
      </c>
      <c r="AA58" s="836"/>
      <c r="AB58" s="836"/>
      <c r="AC58" s="837"/>
      <c r="AD58" s="835">
        <v>1</v>
      </c>
      <c r="AE58" s="836"/>
      <c r="AF58" s="836"/>
      <c r="AG58" s="837"/>
      <c r="AJ58" s="84"/>
      <c r="AQ58" s="653"/>
      <c r="AR58" s="654"/>
      <c r="AY58" s="80"/>
      <c r="AZ58" s="80"/>
    </row>
    <row r="59" spans="1:52" s="14" customFormat="1" ht="15.6" customHeight="1" x14ac:dyDescent="0.15">
      <c r="B59" s="701" t="s">
        <v>152</v>
      </c>
      <c r="C59" s="702"/>
      <c r="D59" s="702"/>
      <c r="E59" s="703"/>
      <c r="F59" s="829" t="s">
        <v>9</v>
      </c>
      <c r="G59" s="830"/>
      <c r="H59" s="830"/>
      <c r="I59" s="831"/>
      <c r="J59" s="613">
        <v>1256</v>
      </c>
      <c r="K59" s="614"/>
      <c r="L59" s="614"/>
      <c r="M59" s="615"/>
      <c r="N59" s="613">
        <v>120</v>
      </c>
      <c r="O59" s="614"/>
      <c r="P59" s="614"/>
      <c r="Q59" s="615"/>
      <c r="R59" s="613">
        <v>355</v>
      </c>
      <c r="S59" s="614"/>
      <c r="T59" s="614"/>
      <c r="U59" s="615"/>
      <c r="V59" s="613">
        <v>290</v>
      </c>
      <c r="W59" s="614"/>
      <c r="X59" s="614"/>
      <c r="Y59" s="615"/>
      <c r="Z59" s="613">
        <v>509</v>
      </c>
      <c r="AA59" s="614"/>
      <c r="AB59" s="614"/>
      <c r="AC59" s="615"/>
      <c r="AD59" s="613">
        <f>SUM(J59:AC59)</f>
        <v>2530</v>
      </c>
      <c r="AE59" s="614"/>
      <c r="AF59" s="614"/>
      <c r="AG59" s="615"/>
      <c r="AJ59" s="84"/>
      <c r="AQ59" s="654"/>
      <c r="AR59" s="654"/>
      <c r="AY59" s="80"/>
      <c r="AZ59" s="80"/>
    </row>
    <row r="60" spans="1:52" s="14" customFormat="1" ht="15.6" customHeight="1" x14ac:dyDescent="0.15">
      <c r="B60" s="711"/>
      <c r="C60" s="712"/>
      <c r="D60" s="712"/>
      <c r="E60" s="713"/>
      <c r="F60" s="832" t="s">
        <v>30</v>
      </c>
      <c r="G60" s="833"/>
      <c r="H60" s="833"/>
      <c r="I60" s="834"/>
      <c r="J60" s="835">
        <f>J59/$AD$59</f>
        <v>0.49644268774703559</v>
      </c>
      <c r="K60" s="836"/>
      <c r="L60" s="836"/>
      <c r="M60" s="837"/>
      <c r="N60" s="835">
        <f>N59/AD59</f>
        <v>4.7430830039525688E-2</v>
      </c>
      <c r="O60" s="836"/>
      <c r="P60" s="836"/>
      <c r="Q60" s="837"/>
      <c r="R60" s="835">
        <f>R59/AD59</f>
        <v>0.14031620553359683</v>
      </c>
      <c r="S60" s="836"/>
      <c r="T60" s="836"/>
      <c r="U60" s="837"/>
      <c r="V60" s="835">
        <f>V59/AD59</f>
        <v>0.11462450592885376</v>
      </c>
      <c r="W60" s="836"/>
      <c r="X60" s="836"/>
      <c r="Y60" s="837"/>
      <c r="Z60" s="835">
        <v>0.20200000000000001</v>
      </c>
      <c r="AA60" s="836"/>
      <c r="AB60" s="836"/>
      <c r="AC60" s="837"/>
      <c r="AD60" s="661">
        <v>1</v>
      </c>
      <c r="AE60" s="662"/>
      <c r="AF60" s="662"/>
      <c r="AG60" s="663"/>
      <c r="AJ60" s="84"/>
      <c r="AQ60" s="654"/>
      <c r="AR60" s="654"/>
      <c r="AY60" s="80"/>
      <c r="AZ60" s="80"/>
    </row>
    <row r="61" spans="1:52" s="14" customFormat="1" ht="15.6" customHeight="1" x14ac:dyDescent="0.15">
      <c r="A61" s="16"/>
      <c r="B61" s="667" t="s">
        <v>31</v>
      </c>
      <c r="C61" s="668"/>
      <c r="D61" s="668"/>
      <c r="E61" s="669"/>
      <c r="F61" s="673" t="s">
        <v>9</v>
      </c>
      <c r="G61" s="673"/>
      <c r="H61" s="673"/>
      <c r="I61" s="673"/>
      <c r="J61" s="674">
        <f>J57-J59</f>
        <v>29</v>
      </c>
      <c r="K61" s="674"/>
      <c r="L61" s="674"/>
      <c r="M61" s="674"/>
      <c r="N61" s="674">
        <f>N57-N59</f>
        <v>-8</v>
      </c>
      <c r="O61" s="674"/>
      <c r="P61" s="674"/>
      <c r="Q61" s="674"/>
      <c r="R61" s="674">
        <f>R57-R59</f>
        <v>17</v>
      </c>
      <c r="S61" s="674"/>
      <c r="T61" s="674"/>
      <c r="U61" s="674"/>
      <c r="V61" s="674">
        <f>V57-V59</f>
        <v>-1</v>
      </c>
      <c r="W61" s="674"/>
      <c r="X61" s="674"/>
      <c r="Y61" s="674"/>
      <c r="Z61" s="674">
        <f>Z57-Z59</f>
        <v>-4</v>
      </c>
      <c r="AA61" s="674"/>
      <c r="AB61" s="674"/>
      <c r="AC61" s="674"/>
      <c r="AD61" s="675">
        <f>SUM(J61:AC61)</f>
        <v>33</v>
      </c>
      <c r="AE61" s="676"/>
      <c r="AF61" s="676"/>
      <c r="AG61" s="677"/>
      <c r="AH61" s="16"/>
      <c r="AI61" s="16"/>
      <c r="AJ61" s="16"/>
      <c r="AK61" s="16"/>
      <c r="AL61" s="16"/>
      <c r="AM61" s="16"/>
      <c r="AQ61" s="654"/>
      <c r="AR61" s="654"/>
      <c r="AY61" s="80"/>
      <c r="AZ61" s="80"/>
    </row>
    <row r="62" spans="1:52" s="14" customFormat="1" ht="15.6" customHeight="1" x14ac:dyDescent="0.15">
      <c r="A62" s="16"/>
      <c r="B62" s="670"/>
      <c r="C62" s="671"/>
      <c r="D62" s="671"/>
      <c r="E62" s="672"/>
      <c r="F62" s="692" t="s">
        <v>32</v>
      </c>
      <c r="G62" s="692"/>
      <c r="H62" s="692"/>
      <c r="I62" s="692"/>
      <c r="J62" s="693">
        <f>J57/J59</f>
        <v>1.0230891719745223</v>
      </c>
      <c r="K62" s="693"/>
      <c r="L62" s="693"/>
      <c r="M62" s="693"/>
      <c r="N62" s="693">
        <f>N57/N59</f>
        <v>0.93333333333333335</v>
      </c>
      <c r="O62" s="693"/>
      <c r="P62" s="693"/>
      <c r="Q62" s="693"/>
      <c r="R62" s="693">
        <f>R57/R59</f>
        <v>1.0478873239436619</v>
      </c>
      <c r="S62" s="693"/>
      <c r="T62" s="693"/>
      <c r="U62" s="693"/>
      <c r="V62" s="693">
        <f>V57/V59</f>
        <v>0.99655172413793103</v>
      </c>
      <c r="W62" s="693"/>
      <c r="X62" s="693"/>
      <c r="Y62" s="693"/>
      <c r="Z62" s="693">
        <f>Z57/Z59</f>
        <v>0.99214145383104124</v>
      </c>
      <c r="AA62" s="693"/>
      <c r="AB62" s="693"/>
      <c r="AC62" s="693"/>
      <c r="AD62" s="694">
        <f>AD57/AD59</f>
        <v>1.0130434782608695</v>
      </c>
      <c r="AE62" s="695"/>
      <c r="AF62" s="695"/>
      <c r="AG62" s="696"/>
      <c r="AH62" s="16"/>
      <c r="AI62" s="16"/>
      <c r="AJ62" s="16"/>
      <c r="AK62" s="16"/>
      <c r="AL62" s="16"/>
      <c r="AM62" s="16"/>
      <c r="AQ62" s="654"/>
      <c r="AR62" s="654"/>
      <c r="AY62" s="80"/>
      <c r="AZ62" s="80"/>
    </row>
    <row r="63" spans="1:52" s="3" customFormat="1" ht="15.6" customHeight="1" x14ac:dyDescent="0.15">
      <c r="A63" s="49"/>
      <c r="B63" s="218"/>
      <c r="C63" s="218"/>
      <c r="D63" s="211"/>
      <c r="E63" s="211"/>
      <c r="F63" s="211"/>
      <c r="G63" s="211"/>
      <c r="H63" s="207"/>
      <c r="I63" s="221"/>
      <c r="J63" s="221"/>
      <c r="K63" s="221"/>
      <c r="L63" s="221"/>
      <c r="M63" s="218"/>
      <c r="N63" s="221"/>
      <c r="O63" s="221"/>
      <c r="P63" s="221"/>
      <c r="Q63" s="221"/>
      <c r="R63" s="218"/>
      <c r="S63" s="211"/>
      <c r="T63" s="211"/>
      <c r="U63" s="211"/>
      <c r="V63" s="211"/>
      <c r="W63" s="219"/>
      <c r="X63" s="219"/>
      <c r="Y63" s="221"/>
      <c r="Z63" s="37"/>
      <c r="AA63" s="221"/>
      <c r="AB63" s="221"/>
      <c r="AC63" s="219"/>
      <c r="AD63" s="219"/>
      <c r="AE63" s="211"/>
      <c r="AF63" s="211"/>
      <c r="AG63" s="211"/>
      <c r="AH63" s="16"/>
      <c r="AI63" s="16"/>
      <c r="AJ63" s="16"/>
      <c r="AK63" s="16"/>
      <c r="AL63" s="16"/>
      <c r="AM63" s="16"/>
      <c r="AN63" s="14"/>
      <c r="AQ63" s="654"/>
      <c r="AR63" s="654"/>
      <c r="AY63" s="79"/>
      <c r="AZ63" s="79"/>
    </row>
    <row r="64" spans="1:52" s="3" customFormat="1" ht="15.6" customHeight="1" x14ac:dyDescent="0.15">
      <c r="A64" s="56" t="s">
        <v>110</v>
      </c>
      <c r="B64" s="24"/>
      <c r="C64" s="24"/>
      <c r="D64" s="24"/>
      <c r="E64" s="24"/>
      <c r="F64" s="24"/>
      <c r="G64" s="46" t="s">
        <v>186</v>
      </c>
      <c r="H64" s="45"/>
      <c r="I64" s="45"/>
      <c r="J64" s="45"/>
      <c r="K64" s="45"/>
      <c r="L64" s="45"/>
      <c r="M64" s="45"/>
      <c r="N64" s="45"/>
      <c r="O64" s="36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196" t="s">
        <v>40</v>
      </c>
      <c r="AH64" s="16"/>
      <c r="AI64" s="16"/>
      <c r="AJ64" s="16"/>
      <c r="AK64" s="16"/>
      <c r="AL64" s="16"/>
      <c r="AM64" s="16"/>
      <c r="AN64" s="16"/>
      <c r="AO64" s="16"/>
      <c r="AP64" s="16"/>
      <c r="AQ64" s="654"/>
      <c r="AR64" s="654"/>
      <c r="AS64" s="16"/>
      <c r="AT64" s="16"/>
      <c r="AU64" s="16"/>
      <c r="AY64" s="79"/>
      <c r="AZ64" s="79"/>
    </row>
    <row r="65" spans="1:52" s="3" customFormat="1" ht="15.6" customHeight="1" x14ac:dyDescent="0.15">
      <c r="A65" s="49"/>
      <c r="B65" s="678" t="s">
        <v>25</v>
      </c>
      <c r="C65" s="679"/>
      <c r="D65" s="680"/>
      <c r="E65" s="684" t="s">
        <v>41</v>
      </c>
      <c r="F65" s="685"/>
      <c r="G65" s="686"/>
      <c r="H65" s="684" t="s">
        <v>42</v>
      </c>
      <c r="I65" s="685"/>
      <c r="J65" s="686"/>
      <c r="K65" s="684" t="s">
        <v>43</v>
      </c>
      <c r="L65" s="685"/>
      <c r="M65" s="690" t="s">
        <v>44</v>
      </c>
      <c r="N65" s="690"/>
      <c r="O65" s="690" t="s">
        <v>45</v>
      </c>
      <c r="P65" s="690"/>
      <c r="Q65" s="690"/>
      <c r="R65" s="684" t="s">
        <v>46</v>
      </c>
      <c r="S65" s="686"/>
      <c r="T65" s="684" t="s">
        <v>47</v>
      </c>
      <c r="U65" s="686"/>
      <c r="V65" s="690" t="s">
        <v>48</v>
      </c>
      <c r="W65" s="690"/>
      <c r="X65" s="690" t="s">
        <v>112</v>
      </c>
      <c r="Y65" s="690"/>
      <c r="Z65" s="684" t="s">
        <v>113</v>
      </c>
      <c r="AA65" s="685"/>
      <c r="AB65" s="686"/>
      <c r="AC65" s="697" t="s">
        <v>128</v>
      </c>
      <c r="AD65" s="698"/>
      <c r="AE65" s="684" t="s">
        <v>82</v>
      </c>
      <c r="AF65" s="685"/>
      <c r="AG65" s="686"/>
      <c r="AH65" s="16"/>
      <c r="AI65" s="16"/>
      <c r="AJ65" s="16"/>
      <c r="AK65" s="16"/>
      <c r="AL65" s="16"/>
      <c r="AM65" s="16"/>
      <c r="AN65" s="16"/>
      <c r="AO65" s="16"/>
      <c r="AP65" s="16"/>
      <c r="AQ65" s="654"/>
      <c r="AR65" s="654"/>
      <c r="AS65" s="16"/>
      <c r="AT65" s="16"/>
      <c r="AU65" s="16"/>
      <c r="AY65" s="79"/>
      <c r="AZ65" s="79"/>
    </row>
    <row r="66" spans="1:52" s="3" customFormat="1" ht="15.6" customHeight="1" x14ac:dyDescent="0.15">
      <c r="A66" s="49"/>
      <c r="B66" s="681"/>
      <c r="C66" s="682"/>
      <c r="D66" s="683"/>
      <c r="E66" s="687"/>
      <c r="F66" s="688"/>
      <c r="G66" s="689"/>
      <c r="H66" s="687"/>
      <c r="I66" s="688"/>
      <c r="J66" s="689"/>
      <c r="K66" s="687"/>
      <c r="L66" s="688"/>
      <c r="M66" s="691"/>
      <c r="N66" s="691"/>
      <c r="O66" s="691"/>
      <c r="P66" s="691"/>
      <c r="Q66" s="691"/>
      <c r="R66" s="687"/>
      <c r="S66" s="689"/>
      <c r="T66" s="687"/>
      <c r="U66" s="689"/>
      <c r="V66" s="691"/>
      <c r="W66" s="691"/>
      <c r="X66" s="691"/>
      <c r="Y66" s="691"/>
      <c r="Z66" s="687"/>
      <c r="AA66" s="688"/>
      <c r="AB66" s="689"/>
      <c r="AC66" s="699"/>
      <c r="AD66" s="700"/>
      <c r="AE66" s="687"/>
      <c r="AF66" s="688"/>
      <c r="AG66" s="689"/>
      <c r="AH66" s="16"/>
      <c r="AI66" s="16"/>
      <c r="AJ66" s="16"/>
      <c r="AK66" s="16"/>
      <c r="AL66" s="16"/>
      <c r="AM66" s="16"/>
      <c r="AN66" s="16"/>
      <c r="AO66" s="16"/>
      <c r="AP66" s="16"/>
      <c r="AQ66" s="654"/>
      <c r="AR66" s="654"/>
      <c r="AS66" s="16"/>
      <c r="AT66" s="16"/>
      <c r="AU66" s="16"/>
      <c r="AY66" s="79"/>
      <c r="AZ66" s="79"/>
    </row>
    <row r="67" spans="1:52" s="14" customFormat="1" ht="15.6" customHeight="1" x14ac:dyDescent="0.15">
      <c r="A67" s="222"/>
      <c r="B67" s="701" t="s">
        <v>86</v>
      </c>
      <c r="C67" s="702"/>
      <c r="D67" s="703"/>
      <c r="E67" s="667">
        <v>2219</v>
      </c>
      <c r="F67" s="668"/>
      <c r="G67" s="669"/>
      <c r="H67" s="667">
        <v>2321</v>
      </c>
      <c r="I67" s="668"/>
      <c r="J67" s="669"/>
      <c r="K67" s="667">
        <v>117</v>
      </c>
      <c r="L67" s="668"/>
      <c r="M67" s="673">
        <v>588</v>
      </c>
      <c r="N67" s="673"/>
      <c r="O67" s="673">
        <v>2149</v>
      </c>
      <c r="P67" s="673"/>
      <c r="Q67" s="673"/>
      <c r="R67" s="667">
        <v>0</v>
      </c>
      <c r="S67" s="669"/>
      <c r="T67" s="667">
        <v>62</v>
      </c>
      <c r="U67" s="669"/>
      <c r="V67" s="673">
        <v>6</v>
      </c>
      <c r="W67" s="673"/>
      <c r="X67" s="715">
        <v>11</v>
      </c>
      <c r="Y67" s="715"/>
      <c r="Z67" s="717">
        <v>1</v>
      </c>
      <c r="AA67" s="718"/>
      <c r="AB67" s="719"/>
      <c r="AC67" s="717">
        <v>0</v>
      </c>
      <c r="AD67" s="719"/>
      <c r="AE67" s="667">
        <f>SUM(E67:AD68)</f>
        <v>7474</v>
      </c>
      <c r="AF67" s="668"/>
      <c r="AG67" s="669"/>
      <c r="AH67" s="541"/>
      <c r="AI67" s="541"/>
      <c r="AJ67" s="541"/>
      <c r="AK67" s="541"/>
      <c r="AL67" s="541"/>
      <c r="AM67" s="541"/>
      <c r="AN67" s="541"/>
      <c r="AO67" s="222"/>
      <c r="AP67" s="222"/>
      <c r="AQ67" s="654"/>
      <c r="AR67" s="654"/>
      <c r="AS67" s="222"/>
      <c r="AT67" s="222"/>
      <c r="AU67" s="222"/>
      <c r="AY67" s="80"/>
      <c r="AZ67" s="80"/>
    </row>
    <row r="68" spans="1:52" s="14" customFormat="1" ht="15.6" customHeight="1" x14ac:dyDescent="0.15">
      <c r="A68" s="222"/>
      <c r="B68" s="711"/>
      <c r="C68" s="712"/>
      <c r="D68" s="713"/>
      <c r="E68" s="670"/>
      <c r="F68" s="671"/>
      <c r="G68" s="672"/>
      <c r="H68" s="670"/>
      <c r="I68" s="671"/>
      <c r="J68" s="672"/>
      <c r="K68" s="670"/>
      <c r="L68" s="671"/>
      <c r="M68" s="714"/>
      <c r="N68" s="714"/>
      <c r="O68" s="714"/>
      <c r="P68" s="714"/>
      <c r="Q68" s="714"/>
      <c r="R68" s="670"/>
      <c r="S68" s="672"/>
      <c r="T68" s="670"/>
      <c r="U68" s="672"/>
      <c r="V68" s="714"/>
      <c r="W68" s="714"/>
      <c r="X68" s="726"/>
      <c r="Y68" s="726"/>
      <c r="Z68" s="727"/>
      <c r="AA68" s="728"/>
      <c r="AB68" s="729"/>
      <c r="AC68" s="727"/>
      <c r="AD68" s="729"/>
      <c r="AE68" s="670"/>
      <c r="AF68" s="671"/>
      <c r="AG68" s="672"/>
      <c r="AH68" s="541"/>
      <c r="AI68" s="541"/>
      <c r="AJ68" s="541"/>
      <c r="AK68" s="541"/>
      <c r="AL68" s="541"/>
      <c r="AM68" s="541"/>
      <c r="AN68" s="541"/>
      <c r="AO68" s="222"/>
      <c r="AP68" s="222"/>
      <c r="AQ68" s="654"/>
      <c r="AR68" s="654"/>
      <c r="AS68" s="222"/>
      <c r="AT68" s="222"/>
      <c r="AU68" s="222"/>
      <c r="AY68" s="80"/>
      <c r="AZ68" s="80"/>
    </row>
    <row r="69" spans="1:52" s="14" customFormat="1" ht="15.6" customHeight="1" x14ac:dyDescent="0.15">
      <c r="A69" s="222"/>
      <c r="B69" s="701" t="s">
        <v>87</v>
      </c>
      <c r="C69" s="702"/>
      <c r="D69" s="703"/>
      <c r="E69" s="667">
        <v>2854</v>
      </c>
      <c r="F69" s="668"/>
      <c r="G69" s="669"/>
      <c r="H69" s="667">
        <v>2964</v>
      </c>
      <c r="I69" s="668"/>
      <c r="J69" s="669"/>
      <c r="K69" s="667">
        <v>174</v>
      </c>
      <c r="L69" s="668"/>
      <c r="M69" s="673">
        <v>609</v>
      </c>
      <c r="N69" s="673"/>
      <c r="O69" s="673">
        <v>2663</v>
      </c>
      <c r="P69" s="673"/>
      <c r="Q69" s="673"/>
      <c r="R69" s="667">
        <v>0</v>
      </c>
      <c r="S69" s="669"/>
      <c r="T69" s="667">
        <v>71</v>
      </c>
      <c r="U69" s="669"/>
      <c r="V69" s="673">
        <v>6</v>
      </c>
      <c r="W69" s="673"/>
      <c r="X69" s="715">
        <v>11</v>
      </c>
      <c r="Y69" s="715"/>
      <c r="Z69" s="717">
        <v>1</v>
      </c>
      <c r="AA69" s="718"/>
      <c r="AB69" s="719"/>
      <c r="AC69" s="717">
        <v>0</v>
      </c>
      <c r="AD69" s="719"/>
      <c r="AE69" s="723">
        <f>SUM(E69:AC70)</f>
        <v>9353</v>
      </c>
      <c r="AF69" s="724"/>
      <c r="AG69" s="725"/>
      <c r="AH69" s="541"/>
      <c r="AI69" s="541"/>
      <c r="AJ69" s="541"/>
      <c r="AK69" s="541"/>
      <c r="AL69" s="541"/>
      <c r="AM69" s="541"/>
      <c r="AN69" s="541"/>
      <c r="AO69" s="222"/>
      <c r="AP69" s="222"/>
      <c r="AQ69" s="86"/>
      <c r="AR69" s="86"/>
      <c r="AS69" s="222"/>
      <c r="AT69" s="222"/>
      <c r="AU69" s="222"/>
      <c r="AY69" s="80"/>
      <c r="AZ69" s="80"/>
    </row>
    <row r="70" spans="1:52" s="14" customFormat="1" ht="15.6" customHeight="1" thickBot="1" x14ac:dyDescent="0.2">
      <c r="A70" s="16"/>
      <c r="B70" s="704"/>
      <c r="C70" s="705"/>
      <c r="D70" s="706"/>
      <c r="E70" s="707"/>
      <c r="F70" s="708"/>
      <c r="G70" s="709"/>
      <c r="H70" s="707"/>
      <c r="I70" s="708"/>
      <c r="J70" s="709"/>
      <c r="K70" s="707"/>
      <c r="L70" s="708"/>
      <c r="M70" s="710"/>
      <c r="N70" s="710"/>
      <c r="O70" s="710"/>
      <c r="P70" s="710"/>
      <c r="Q70" s="710"/>
      <c r="R70" s="707"/>
      <c r="S70" s="709"/>
      <c r="T70" s="707"/>
      <c r="U70" s="709"/>
      <c r="V70" s="710"/>
      <c r="W70" s="710"/>
      <c r="X70" s="716"/>
      <c r="Y70" s="716"/>
      <c r="Z70" s="720"/>
      <c r="AA70" s="721"/>
      <c r="AB70" s="722"/>
      <c r="AC70" s="720"/>
      <c r="AD70" s="722"/>
      <c r="AE70" s="707"/>
      <c r="AF70" s="708"/>
      <c r="AG70" s="709"/>
      <c r="AH70" s="16"/>
      <c r="AI70" s="16"/>
      <c r="AJ70" s="16"/>
      <c r="AK70" s="16"/>
      <c r="AL70" s="16"/>
      <c r="AM70" s="16"/>
      <c r="AN70" s="16"/>
      <c r="AO70" s="16"/>
      <c r="AP70" s="16"/>
      <c r="AQ70" s="87"/>
      <c r="AR70" s="87"/>
      <c r="AS70" s="16"/>
      <c r="AT70" s="16"/>
      <c r="AU70" s="16"/>
      <c r="AY70" s="80"/>
      <c r="AZ70" s="80"/>
    </row>
    <row r="71" spans="1:52" s="14" customFormat="1" ht="15.6" customHeight="1" thickTop="1" x14ac:dyDescent="0.15">
      <c r="A71" s="16"/>
      <c r="B71" s="874" t="s">
        <v>159</v>
      </c>
      <c r="C71" s="875"/>
      <c r="D71" s="876"/>
      <c r="E71" s="847">
        <v>1797333</v>
      </c>
      <c r="F71" s="848"/>
      <c r="G71" s="849"/>
      <c r="H71" s="847">
        <v>1033415</v>
      </c>
      <c r="I71" s="848"/>
      <c r="J71" s="849"/>
      <c r="K71" s="847">
        <v>16563</v>
      </c>
      <c r="L71" s="848"/>
      <c r="M71" s="855">
        <v>196035</v>
      </c>
      <c r="N71" s="855"/>
      <c r="O71" s="855">
        <v>2794624</v>
      </c>
      <c r="P71" s="855"/>
      <c r="Q71" s="855"/>
      <c r="R71" s="847">
        <v>245</v>
      </c>
      <c r="S71" s="849"/>
      <c r="T71" s="847">
        <v>10120</v>
      </c>
      <c r="U71" s="849"/>
      <c r="V71" s="855">
        <v>17768</v>
      </c>
      <c r="W71" s="855"/>
      <c r="X71" s="855">
        <v>26860</v>
      </c>
      <c r="Y71" s="855"/>
      <c r="Z71" s="847">
        <v>1166</v>
      </c>
      <c r="AA71" s="848"/>
      <c r="AB71" s="849"/>
      <c r="AC71" s="870">
        <v>800</v>
      </c>
      <c r="AD71" s="871"/>
      <c r="AE71" s="847">
        <f>SUM(E71:AD72)</f>
        <v>5894929</v>
      </c>
      <c r="AF71" s="848"/>
      <c r="AG71" s="849"/>
      <c r="AH71" s="16"/>
      <c r="AI71" s="537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Y71" s="80"/>
      <c r="AZ71" s="80"/>
    </row>
    <row r="72" spans="1:52" s="14" customFormat="1" ht="15.6" customHeight="1" x14ac:dyDescent="0.15">
      <c r="A72" s="16"/>
      <c r="B72" s="877"/>
      <c r="C72" s="878"/>
      <c r="D72" s="879"/>
      <c r="E72" s="850"/>
      <c r="F72" s="851"/>
      <c r="G72" s="852"/>
      <c r="H72" s="850"/>
      <c r="I72" s="851"/>
      <c r="J72" s="852"/>
      <c r="K72" s="853"/>
      <c r="L72" s="854"/>
      <c r="M72" s="856"/>
      <c r="N72" s="856"/>
      <c r="O72" s="856"/>
      <c r="P72" s="856"/>
      <c r="Q72" s="856"/>
      <c r="R72" s="850"/>
      <c r="S72" s="852"/>
      <c r="T72" s="850"/>
      <c r="U72" s="852"/>
      <c r="V72" s="856"/>
      <c r="W72" s="856"/>
      <c r="X72" s="856"/>
      <c r="Y72" s="856"/>
      <c r="Z72" s="853"/>
      <c r="AA72" s="854"/>
      <c r="AB72" s="864"/>
      <c r="AC72" s="872"/>
      <c r="AD72" s="873"/>
      <c r="AE72" s="853"/>
      <c r="AF72" s="854"/>
      <c r="AG72" s="864"/>
      <c r="AH72" s="16"/>
      <c r="AI72" s="537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Y72" s="80"/>
      <c r="AZ72" s="80"/>
    </row>
    <row r="73" spans="1:52" s="14" customFormat="1" ht="15.6" customHeight="1" x14ac:dyDescent="0.15">
      <c r="A73" s="16"/>
      <c r="B73" s="865" t="s">
        <v>30</v>
      </c>
      <c r="C73" s="866"/>
      <c r="D73" s="867"/>
      <c r="E73" s="858">
        <v>0.3049</v>
      </c>
      <c r="F73" s="859"/>
      <c r="G73" s="860"/>
      <c r="H73" s="858">
        <f>H71/AE71</f>
        <v>0.17530575855960268</v>
      </c>
      <c r="I73" s="859"/>
      <c r="J73" s="860"/>
      <c r="K73" s="858">
        <f>K71/AE71</f>
        <v>2.8097030515549892E-3</v>
      </c>
      <c r="L73" s="860"/>
      <c r="M73" s="858">
        <f>M71/AE71</f>
        <v>3.3254853451161158E-2</v>
      </c>
      <c r="N73" s="859"/>
      <c r="O73" s="858">
        <f>O71/AE71</f>
        <v>0.47407254608155586</v>
      </c>
      <c r="P73" s="859"/>
      <c r="Q73" s="860"/>
      <c r="R73" s="868">
        <f>R71/AE71</f>
        <v>4.1561145180883433E-5</v>
      </c>
      <c r="S73" s="869"/>
      <c r="T73" s="868">
        <f>T71/AE71</f>
        <v>1.7167297519613892E-3</v>
      </c>
      <c r="U73" s="869"/>
      <c r="V73" s="857">
        <f>V71/AE71</f>
        <v>3.0141160309140281E-3</v>
      </c>
      <c r="W73" s="857"/>
      <c r="X73" s="857">
        <f>X71/AE71</f>
        <v>4.5564586104429759E-3</v>
      </c>
      <c r="Y73" s="857"/>
      <c r="Z73" s="858">
        <f>Z71/AE71</f>
        <v>1.9779712359555137E-4</v>
      </c>
      <c r="AA73" s="859"/>
      <c r="AB73" s="860"/>
      <c r="AC73" s="858">
        <f>AC71/AE71</f>
        <v>1.3570986181512959E-4</v>
      </c>
      <c r="AD73" s="860"/>
      <c r="AE73" s="861">
        <v>1</v>
      </c>
      <c r="AF73" s="862"/>
      <c r="AG73" s="863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Y73" s="80"/>
      <c r="AZ73" s="80"/>
    </row>
    <row r="74" spans="1:52" s="14" customFormat="1" ht="15.6" customHeight="1" x14ac:dyDescent="0.15">
      <c r="A74" s="16"/>
      <c r="B74" s="539"/>
      <c r="C74" s="535"/>
      <c r="D74" s="535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70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Y74" s="80"/>
      <c r="AZ74" s="80"/>
    </row>
    <row r="75" spans="1:52" s="3" customFormat="1" ht="15.6" customHeight="1" x14ac:dyDescent="0.15">
      <c r="A75" s="18" t="s">
        <v>71</v>
      </c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214" t="s">
        <v>33</v>
      </c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Y75" s="79"/>
      <c r="AZ75" s="79"/>
    </row>
    <row r="76" spans="1:52" s="3" customFormat="1" ht="15.6" customHeight="1" x14ac:dyDescent="0.15">
      <c r="A76" s="49"/>
      <c r="B76" s="730" t="s">
        <v>34</v>
      </c>
      <c r="C76" s="730"/>
      <c r="D76" s="730"/>
      <c r="E76" s="730"/>
      <c r="F76" s="730"/>
      <c r="G76" s="730"/>
      <c r="H76" s="730" t="s">
        <v>35</v>
      </c>
      <c r="I76" s="730"/>
      <c r="J76" s="730"/>
      <c r="K76" s="730"/>
      <c r="L76" s="730"/>
      <c r="M76" s="730"/>
      <c r="N76" s="730"/>
      <c r="O76" s="730"/>
      <c r="P76" s="730"/>
      <c r="Q76" s="730"/>
      <c r="R76" s="730"/>
      <c r="S76" s="730"/>
      <c r="T76" s="730"/>
      <c r="U76" s="730"/>
      <c r="V76" s="730"/>
      <c r="W76" s="730"/>
      <c r="X76" s="730"/>
      <c r="Y76" s="730"/>
      <c r="Z76" s="549" t="s">
        <v>36</v>
      </c>
      <c r="AA76" s="550"/>
      <c r="AB76" s="550"/>
      <c r="AC76" s="550"/>
      <c r="AD76" s="550"/>
      <c r="AE76" s="550"/>
      <c r="AF76" s="550"/>
      <c r="AG76" s="551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Y76" s="79"/>
      <c r="AZ76" s="79"/>
    </row>
    <row r="77" spans="1:52" s="3" customFormat="1" ht="15.6" customHeight="1" x14ac:dyDescent="0.15">
      <c r="A77" s="49"/>
      <c r="B77" s="730"/>
      <c r="C77" s="730"/>
      <c r="D77" s="730"/>
      <c r="E77" s="730"/>
      <c r="F77" s="730"/>
      <c r="G77" s="730"/>
      <c r="H77" s="730" t="s">
        <v>37</v>
      </c>
      <c r="I77" s="730"/>
      <c r="J77" s="730"/>
      <c r="K77" s="730"/>
      <c r="L77" s="730"/>
      <c r="M77" s="730"/>
      <c r="N77" s="730" t="s">
        <v>38</v>
      </c>
      <c r="O77" s="730"/>
      <c r="P77" s="730"/>
      <c r="Q77" s="730"/>
      <c r="R77" s="730"/>
      <c r="S77" s="730"/>
      <c r="T77" s="730" t="s">
        <v>39</v>
      </c>
      <c r="U77" s="730"/>
      <c r="V77" s="730"/>
      <c r="W77" s="730"/>
      <c r="X77" s="730"/>
      <c r="Y77" s="730"/>
      <c r="Z77" s="552"/>
      <c r="AA77" s="553"/>
      <c r="AB77" s="553"/>
      <c r="AC77" s="553"/>
      <c r="AD77" s="553"/>
      <c r="AE77" s="553"/>
      <c r="AF77" s="553"/>
      <c r="AG77" s="554"/>
      <c r="AH77" s="16"/>
      <c r="AI77" s="16"/>
      <c r="AJ77" s="16"/>
      <c r="AK77" s="16"/>
      <c r="AL77" s="14"/>
      <c r="AM77" s="14"/>
      <c r="AN77" s="14"/>
      <c r="AY77" s="79"/>
      <c r="AZ77" s="79"/>
    </row>
    <row r="78" spans="1:52" s="3" customFormat="1" ht="15.6" customHeight="1" x14ac:dyDescent="0.15">
      <c r="A78" s="49"/>
      <c r="B78" s="731" t="s">
        <v>136</v>
      </c>
      <c r="C78" s="732"/>
      <c r="D78" s="732"/>
      <c r="E78" s="732"/>
      <c r="F78" s="732"/>
      <c r="G78" s="733"/>
      <c r="H78" s="734">
        <v>5190000</v>
      </c>
      <c r="I78" s="735"/>
      <c r="J78" s="735"/>
      <c r="K78" s="735"/>
      <c r="L78" s="735"/>
      <c r="M78" s="736"/>
      <c r="N78" s="737">
        <v>210000</v>
      </c>
      <c r="O78" s="738"/>
      <c r="P78" s="738"/>
      <c r="Q78" s="738"/>
      <c r="R78" s="738"/>
      <c r="S78" s="739"/>
      <c r="T78" s="734">
        <f t="shared" ref="T78:T81" si="1">SUM(H78:S78)</f>
        <v>5400000</v>
      </c>
      <c r="U78" s="735"/>
      <c r="V78" s="735"/>
      <c r="W78" s="735"/>
      <c r="X78" s="735"/>
      <c r="Y78" s="736"/>
      <c r="Z78" s="740">
        <v>5385302</v>
      </c>
      <c r="AA78" s="741"/>
      <c r="AB78" s="741"/>
      <c r="AC78" s="741"/>
      <c r="AD78" s="741"/>
      <c r="AE78" s="741"/>
      <c r="AF78" s="741"/>
      <c r="AG78" s="742"/>
      <c r="AH78" s="16"/>
      <c r="AI78" s="16"/>
      <c r="AJ78" s="16"/>
      <c r="AK78" s="16"/>
      <c r="AL78" s="14"/>
      <c r="AM78" s="14"/>
      <c r="AN78" s="14"/>
      <c r="AY78" s="79"/>
      <c r="AZ78" s="79"/>
    </row>
    <row r="79" spans="1:52" s="3" customFormat="1" ht="15.6" customHeight="1" x14ac:dyDescent="0.15">
      <c r="A79" s="49"/>
      <c r="B79" s="731" t="s">
        <v>137</v>
      </c>
      <c r="C79" s="732"/>
      <c r="D79" s="732"/>
      <c r="E79" s="732"/>
      <c r="F79" s="732"/>
      <c r="G79" s="733"/>
      <c r="H79" s="734">
        <v>5300000</v>
      </c>
      <c r="I79" s="735"/>
      <c r="J79" s="735"/>
      <c r="K79" s="735"/>
      <c r="L79" s="735"/>
      <c r="M79" s="736"/>
      <c r="N79" s="737">
        <v>346000</v>
      </c>
      <c r="O79" s="738"/>
      <c r="P79" s="738"/>
      <c r="Q79" s="738"/>
      <c r="R79" s="738"/>
      <c r="S79" s="739"/>
      <c r="T79" s="734">
        <f t="shared" si="1"/>
        <v>5646000</v>
      </c>
      <c r="U79" s="735"/>
      <c r="V79" s="735"/>
      <c r="W79" s="735"/>
      <c r="X79" s="735"/>
      <c r="Y79" s="736"/>
      <c r="Z79" s="740">
        <v>5636644</v>
      </c>
      <c r="AA79" s="741"/>
      <c r="AB79" s="741"/>
      <c r="AC79" s="741"/>
      <c r="AD79" s="741"/>
      <c r="AE79" s="741"/>
      <c r="AF79" s="741"/>
      <c r="AG79" s="742"/>
      <c r="AH79" s="16"/>
      <c r="AI79" s="16"/>
      <c r="AJ79" s="16"/>
      <c r="AK79" s="16"/>
      <c r="AL79" s="14"/>
      <c r="AM79" s="14"/>
      <c r="AN79" s="14"/>
      <c r="AY79" s="79"/>
      <c r="AZ79" s="79"/>
    </row>
    <row r="80" spans="1:52" s="3" customFormat="1" ht="15.6" customHeight="1" x14ac:dyDescent="0.15">
      <c r="A80" s="49"/>
      <c r="B80" s="731" t="s">
        <v>138</v>
      </c>
      <c r="C80" s="732"/>
      <c r="D80" s="732"/>
      <c r="E80" s="732"/>
      <c r="F80" s="732"/>
      <c r="G80" s="733"/>
      <c r="H80" s="734">
        <v>5310000</v>
      </c>
      <c r="I80" s="735"/>
      <c r="J80" s="735"/>
      <c r="K80" s="735"/>
      <c r="L80" s="735"/>
      <c r="M80" s="736"/>
      <c r="N80" s="743">
        <v>197000</v>
      </c>
      <c r="O80" s="744"/>
      <c r="P80" s="744"/>
      <c r="Q80" s="744"/>
      <c r="R80" s="744"/>
      <c r="S80" s="745"/>
      <c r="T80" s="734">
        <f t="shared" si="1"/>
        <v>5507000</v>
      </c>
      <c r="U80" s="735"/>
      <c r="V80" s="735"/>
      <c r="W80" s="735"/>
      <c r="X80" s="735"/>
      <c r="Y80" s="736"/>
      <c r="Z80" s="734">
        <v>5500325</v>
      </c>
      <c r="AA80" s="735"/>
      <c r="AB80" s="735"/>
      <c r="AC80" s="735"/>
      <c r="AD80" s="735"/>
      <c r="AE80" s="735"/>
      <c r="AF80" s="735"/>
      <c r="AG80" s="736"/>
      <c r="AH80" s="16"/>
      <c r="AI80" s="16"/>
      <c r="AJ80" s="16"/>
      <c r="AK80" s="16"/>
      <c r="AL80" s="16"/>
      <c r="AM80" s="16"/>
      <c r="AN80" s="16"/>
      <c r="AO80" s="16"/>
      <c r="AY80" s="79"/>
      <c r="AZ80" s="79"/>
    </row>
    <row r="81" spans="1:54" s="3" customFormat="1" ht="15.6" customHeight="1" x14ac:dyDescent="0.15">
      <c r="A81" s="49"/>
      <c r="B81" s="746" t="s">
        <v>132</v>
      </c>
      <c r="C81" s="746"/>
      <c r="D81" s="746"/>
      <c r="E81" s="746"/>
      <c r="F81" s="746"/>
      <c r="G81" s="746"/>
      <c r="H81" s="747">
        <v>5510000</v>
      </c>
      <c r="I81" s="748"/>
      <c r="J81" s="748"/>
      <c r="K81" s="748"/>
      <c r="L81" s="748"/>
      <c r="M81" s="749"/>
      <c r="N81" s="743">
        <v>388000</v>
      </c>
      <c r="O81" s="744"/>
      <c r="P81" s="744"/>
      <c r="Q81" s="744"/>
      <c r="R81" s="744"/>
      <c r="S81" s="745"/>
      <c r="T81" s="747">
        <f t="shared" si="1"/>
        <v>5898000</v>
      </c>
      <c r="U81" s="748"/>
      <c r="V81" s="748"/>
      <c r="W81" s="748"/>
      <c r="X81" s="748"/>
      <c r="Y81" s="749"/>
      <c r="Z81" s="747">
        <v>5894929</v>
      </c>
      <c r="AA81" s="748"/>
      <c r="AB81" s="748"/>
      <c r="AC81" s="748"/>
      <c r="AD81" s="748"/>
      <c r="AE81" s="748"/>
      <c r="AF81" s="748"/>
      <c r="AG81" s="749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Y81" s="79"/>
      <c r="AZ81" s="79"/>
    </row>
    <row r="82" spans="1:54" s="14" customFormat="1" ht="15.6" customHeight="1" x14ac:dyDescent="0.15">
      <c r="A82" s="16"/>
      <c r="B82" s="746" t="s">
        <v>145</v>
      </c>
      <c r="C82" s="746"/>
      <c r="D82" s="746"/>
      <c r="E82" s="746"/>
      <c r="F82" s="746"/>
      <c r="G82" s="746"/>
      <c r="H82" s="747">
        <v>5596000</v>
      </c>
      <c r="I82" s="748"/>
      <c r="J82" s="748"/>
      <c r="K82" s="748"/>
      <c r="L82" s="748"/>
      <c r="M82" s="749"/>
      <c r="N82" s="743">
        <v>448000</v>
      </c>
      <c r="O82" s="744"/>
      <c r="P82" s="744"/>
      <c r="Q82" s="744"/>
      <c r="R82" s="744"/>
      <c r="S82" s="745"/>
      <c r="T82" s="747">
        <f>SUM(H82:S82)</f>
        <v>6044000</v>
      </c>
      <c r="U82" s="748"/>
      <c r="V82" s="748"/>
      <c r="W82" s="748"/>
      <c r="X82" s="748"/>
      <c r="Y82" s="749"/>
      <c r="Z82" s="844"/>
      <c r="AA82" s="845"/>
      <c r="AB82" s="845"/>
      <c r="AC82" s="845"/>
      <c r="AD82" s="845"/>
      <c r="AE82" s="845"/>
      <c r="AF82" s="845"/>
      <c r="AG82" s="84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Y82" s="80"/>
      <c r="AZ82" s="80"/>
    </row>
    <row r="83" spans="1:54" s="3" customFormat="1" ht="15.6" customHeight="1" x14ac:dyDescent="0.15">
      <c r="A83" s="49"/>
      <c r="B83" s="218"/>
      <c r="C83" s="218"/>
      <c r="D83" s="218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Y83" s="79"/>
      <c r="AZ83" s="79"/>
    </row>
    <row r="84" spans="1:54" s="1" customFormat="1" ht="15.6" customHeight="1" x14ac:dyDescent="0.15">
      <c r="A84" s="49" t="s">
        <v>49</v>
      </c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2" t="s">
        <v>114</v>
      </c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Y84" s="206"/>
      <c r="AZ84" s="206"/>
    </row>
    <row r="85" spans="1:54" s="1" customFormat="1" ht="15.6" customHeight="1" x14ac:dyDescent="0.15">
      <c r="A85" s="49"/>
      <c r="B85" s="730" t="s">
        <v>78</v>
      </c>
      <c r="C85" s="730"/>
      <c r="D85" s="730"/>
      <c r="E85" s="730"/>
      <c r="F85" s="730"/>
      <c r="G85" s="751" t="s">
        <v>127</v>
      </c>
      <c r="H85" s="752"/>
      <c r="I85" s="752"/>
      <c r="J85" s="752"/>
      <c r="K85" s="753"/>
      <c r="L85" s="751" t="s">
        <v>138</v>
      </c>
      <c r="M85" s="752"/>
      <c r="N85" s="752"/>
      <c r="O85" s="752"/>
      <c r="P85" s="753"/>
      <c r="Q85" s="751" t="s">
        <v>132</v>
      </c>
      <c r="R85" s="752"/>
      <c r="S85" s="752"/>
      <c r="T85" s="752"/>
      <c r="U85" s="753"/>
      <c r="V85" s="754" t="s">
        <v>145</v>
      </c>
      <c r="W85" s="730"/>
      <c r="X85" s="730"/>
      <c r="Y85" s="730"/>
      <c r="Z85" s="730"/>
      <c r="AA85" s="754" t="s">
        <v>177</v>
      </c>
      <c r="AB85" s="730"/>
      <c r="AC85" s="730"/>
      <c r="AD85" s="730"/>
      <c r="AE85" s="730"/>
      <c r="AF85" s="16"/>
      <c r="AG85" s="16"/>
      <c r="AH85" s="16"/>
      <c r="AI85" s="13"/>
      <c r="AJ85" s="13"/>
      <c r="AK85" s="13"/>
      <c r="AL85" s="13"/>
      <c r="AM85" s="13"/>
      <c r="AN85" s="13"/>
      <c r="AY85" s="206"/>
      <c r="AZ85" s="206"/>
    </row>
    <row r="86" spans="1:54" s="1" customFormat="1" ht="15.6" customHeight="1" x14ac:dyDescent="0.15">
      <c r="A86" s="49"/>
      <c r="B86" s="756" t="s">
        <v>77</v>
      </c>
      <c r="C86" s="756"/>
      <c r="D86" s="756"/>
      <c r="E86" s="756"/>
      <c r="F86" s="756"/>
      <c r="G86" s="757">
        <f>990+98</f>
        <v>1088</v>
      </c>
      <c r="H86" s="758"/>
      <c r="I86" s="758"/>
      <c r="J86" s="758"/>
      <c r="K86" s="759"/>
      <c r="L86" s="757">
        <v>1174</v>
      </c>
      <c r="M86" s="758"/>
      <c r="N86" s="758"/>
      <c r="O86" s="758"/>
      <c r="P86" s="759"/>
      <c r="Q86" s="757">
        <v>1207</v>
      </c>
      <c r="R86" s="758"/>
      <c r="S86" s="758"/>
      <c r="T86" s="758"/>
      <c r="U86" s="759"/>
      <c r="V86" s="763">
        <v>1103</v>
      </c>
      <c r="W86" s="763"/>
      <c r="X86" s="763"/>
      <c r="Y86" s="763"/>
      <c r="Z86" s="763"/>
      <c r="AA86" s="764">
        <f>77+122+80</f>
        <v>279</v>
      </c>
      <c r="AB86" s="764"/>
      <c r="AC86" s="764"/>
      <c r="AD86" s="764"/>
      <c r="AE86" s="764"/>
      <c r="AF86" s="16"/>
      <c r="AG86" s="16"/>
      <c r="AH86" s="16"/>
      <c r="AI86" s="755"/>
      <c r="AJ86" s="755"/>
      <c r="AK86" s="755"/>
      <c r="AL86" s="13"/>
      <c r="AM86" s="13"/>
      <c r="AN86" s="13"/>
      <c r="AY86" s="206"/>
      <c r="AZ86" s="206"/>
    </row>
    <row r="87" spans="1:54" s="1" customFormat="1" ht="15.6" customHeight="1" x14ac:dyDescent="0.15">
      <c r="A87" s="49"/>
      <c r="B87" s="756" t="s">
        <v>76</v>
      </c>
      <c r="C87" s="756"/>
      <c r="D87" s="756"/>
      <c r="E87" s="756"/>
      <c r="F87" s="756"/>
      <c r="G87" s="757">
        <v>91</v>
      </c>
      <c r="H87" s="758"/>
      <c r="I87" s="758"/>
      <c r="J87" s="758"/>
      <c r="K87" s="759"/>
      <c r="L87" s="757">
        <f>L86/12</f>
        <v>97.833333333333329</v>
      </c>
      <c r="M87" s="758"/>
      <c r="N87" s="758"/>
      <c r="O87" s="758"/>
      <c r="P87" s="759"/>
      <c r="Q87" s="757">
        <f>Q86/12</f>
        <v>100.58333333333333</v>
      </c>
      <c r="R87" s="758"/>
      <c r="S87" s="758"/>
      <c r="T87" s="758"/>
      <c r="U87" s="759"/>
      <c r="V87" s="757">
        <f>V86/12</f>
        <v>91.916666666666671</v>
      </c>
      <c r="W87" s="758"/>
      <c r="X87" s="758"/>
      <c r="Y87" s="758"/>
      <c r="Z87" s="759"/>
      <c r="AA87" s="760">
        <f>AA86/3</f>
        <v>93</v>
      </c>
      <c r="AB87" s="761"/>
      <c r="AC87" s="761"/>
      <c r="AD87" s="761"/>
      <c r="AE87" s="762"/>
      <c r="AF87" s="16"/>
      <c r="AG87" s="16"/>
      <c r="AH87" s="16"/>
      <c r="AI87" s="889"/>
      <c r="AJ87" s="13"/>
      <c r="AK87" s="13"/>
      <c r="AL87" s="13"/>
      <c r="AM87" s="13"/>
      <c r="AN87" s="13"/>
      <c r="AY87" s="206"/>
      <c r="AZ87" s="206"/>
    </row>
    <row r="88" spans="1:54" s="1" customFormat="1" ht="15.6" customHeight="1" x14ac:dyDescent="0.15">
      <c r="A88" s="49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3"/>
      <c r="AJ88" s="13"/>
      <c r="AK88" s="13"/>
      <c r="AL88" s="13"/>
      <c r="AM88" s="13"/>
      <c r="AN88" s="13"/>
      <c r="AY88" s="206"/>
      <c r="AZ88" s="206"/>
    </row>
    <row r="89" spans="1:54" s="1" customFormat="1" ht="15.6" customHeight="1" x14ac:dyDescent="0.15">
      <c r="A89" s="50" t="s">
        <v>63</v>
      </c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AA89" s="75" t="s">
        <v>114</v>
      </c>
      <c r="AB89" s="75"/>
      <c r="AC89" s="75"/>
      <c r="AD89" s="75"/>
      <c r="AE89" s="75"/>
      <c r="AF89" s="16"/>
      <c r="AG89" s="16"/>
      <c r="AH89" s="16"/>
      <c r="AI89" s="13"/>
      <c r="AJ89" s="13"/>
      <c r="AK89" s="13"/>
      <c r="AL89" s="13"/>
      <c r="AM89" s="13"/>
      <c r="AN89" s="13"/>
      <c r="AY89" s="206"/>
      <c r="AZ89" s="206"/>
    </row>
    <row r="90" spans="1:54" s="1" customFormat="1" ht="15.6" customHeight="1" x14ac:dyDescent="0.15">
      <c r="A90" s="49"/>
      <c r="B90" s="765" t="s">
        <v>70</v>
      </c>
      <c r="C90" s="766"/>
      <c r="D90" s="767"/>
      <c r="E90" s="765" t="s">
        <v>50</v>
      </c>
      <c r="F90" s="766"/>
      <c r="G90" s="766"/>
      <c r="H90" s="766"/>
      <c r="I90" s="767"/>
      <c r="J90" s="751" t="s">
        <v>133</v>
      </c>
      <c r="K90" s="752"/>
      <c r="L90" s="752"/>
      <c r="M90" s="752"/>
      <c r="N90" s="752"/>
      <c r="O90" s="752"/>
      <c r="P90" s="752"/>
      <c r="Q90" s="753"/>
      <c r="R90" s="751" t="s">
        <v>146</v>
      </c>
      <c r="S90" s="752"/>
      <c r="T90" s="752"/>
      <c r="U90" s="752"/>
      <c r="V90" s="752"/>
      <c r="W90" s="752"/>
      <c r="X90" s="752"/>
      <c r="Y90" s="753"/>
      <c r="Z90" s="751" t="s">
        <v>178</v>
      </c>
      <c r="AA90" s="752"/>
      <c r="AB90" s="752"/>
      <c r="AC90" s="752"/>
      <c r="AD90" s="752"/>
      <c r="AE90" s="752"/>
      <c r="AF90" s="752"/>
      <c r="AG90" s="753"/>
      <c r="AH90" s="16"/>
      <c r="AI90" s="13"/>
      <c r="AJ90" s="13"/>
      <c r="AK90" s="13"/>
      <c r="AL90" s="13"/>
      <c r="AM90" s="13"/>
      <c r="AN90" s="13"/>
      <c r="AY90" s="206"/>
      <c r="AZ90" s="206"/>
    </row>
    <row r="91" spans="1:54" s="1" customFormat="1" ht="15.6" customHeight="1" x14ac:dyDescent="0.15">
      <c r="A91" s="49"/>
      <c r="B91" s="785"/>
      <c r="C91" s="786"/>
      <c r="D91" s="787"/>
      <c r="E91" s="785"/>
      <c r="F91" s="786"/>
      <c r="G91" s="786"/>
      <c r="H91" s="786"/>
      <c r="I91" s="787"/>
      <c r="J91" s="788" t="s">
        <v>51</v>
      </c>
      <c r="K91" s="788"/>
      <c r="L91" s="788"/>
      <c r="M91" s="788"/>
      <c r="N91" s="765" t="s">
        <v>30</v>
      </c>
      <c r="O91" s="766"/>
      <c r="P91" s="766"/>
      <c r="Q91" s="767"/>
      <c r="R91" s="788" t="s">
        <v>51</v>
      </c>
      <c r="S91" s="788"/>
      <c r="T91" s="788"/>
      <c r="U91" s="788"/>
      <c r="V91" s="765" t="s">
        <v>30</v>
      </c>
      <c r="W91" s="766"/>
      <c r="X91" s="766"/>
      <c r="Y91" s="767"/>
      <c r="Z91" s="788" t="s">
        <v>51</v>
      </c>
      <c r="AA91" s="788"/>
      <c r="AB91" s="788"/>
      <c r="AC91" s="788"/>
      <c r="AD91" s="765" t="s">
        <v>30</v>
      </c>
      <c r="AE91" s="766"/>
      <c r="AF91" s="766"/>
      <c r="AG91" s="767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Y91" s="206"/>
      <c r="AZ91" s="206"/>
    </row>
    <row r="92" spans="1:54" s="1" customFormat="1" ht="15.6" customHeight="1" x14ac:dyDescent="0.15">
      <c r="A92" s="52"/>
      <c r="B92" s="768" t="s">
        <v>74</v>
      </c>
      <c r="C92" s="769"/>
      <c r="D92" s="770"/>
      <c r="E92" s="777" t="s">
        <v>52</v>
      </c>
      <c r="F92" s="777"/>
      <c r="G92" s="777"/>
      <c r="H92" s="777"/>
      <c r="I92" s="777"/>
      <c r="J92" s="778">
        <v>193</v>
      </c>
      <c r="K92" s="778"/>
      <c r="L92" s="778"/>
      <c r="M92" s="778"/>
      <c r="N92" s="779">
        <f>J92/SUM(J92:M96)</f>
        <v>0.15990057995028997</v>
      </c>
      <c r="O92" s="779"/>
      <c r="P92" s="779"/>
      <c r="Q92" s="779"/>
      <c r="R92" s="780">
        <v>206</v>
      </c>
      <c r="S92" s="778"/>
      <c r="T92" s="778"/>
      <c r="U92" s="778"/>
      <c r="V92" s="779">
        <f>R92/V86</f>
        <v>0.18676337262012693</v>
      </c>
      <c r="W92" s="779"/>
      <c r="X92" s="779"/>
      <c r="Y92" s="779"/>
      <c r="Z92" s="781">
        <f>13+27+18</f>
        <v>58</v>
      </c>
      <c r="AA92" s="782"/>
      <c r="AB92" s="782"/>
      <c r="AC92" s="782"/>
      <c r="AD92" s="814">
        <f>Z92/AA86</f>
        <v>0.2078853046594982</v>
      </c>
      <c r="AE92" s="814"/>
      <c r="AF92" s="814"/>
      <c r="AG92" s="814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Y92" s="789"/>
      <c r="AZ92" s="789"/>
    </row>
    <row r="93" spans="1:54" s="1" customFormat="1" ht="15.6" customHeight="1" x14ac:dyDescent="0.15">
      <c r="A93" s="52"/>
      <c r="B93" s="771"/>
      <c r="C93" s="772"/>
      <c r="D93" s="773"/>
      <c r="E93" s="784" t="s">
        <v>53</v>
      </c>
      <c r="F93" s="784"/>
      <c r="G93" s="784"/>
      <c r="H93" s="784"/>
      <c r="I93" s="784"/>
      <c r="J93" s="790">
        <v>600</v>
      </c>
      <c r="K93" s="790"/>
      <c r="L93" s="790"/>
      <c r="M93" s="790"/>
      <c r="N93" s="791">
        <f>J93/SUM(J92:M96)</f>
        <v>0.4971002485501243</v>
      </c>
      <c r="O93" s="791"/>
      <c r="P93" s="791"/>
      <c r="Q93" s="791"/>
      <c r="R93" s="792">
        <v>391</v>
      </c>
      <c r="S93" s="790"/>
      <c r="T93" s="790"/>
      <c r="U93" s="790"/>
      <c r="V93" s="793">
        <f>R93/V86</f>
        <v>0.35448776065276516</v>
      </c>
      <c r="W93" s="794"/>
      <c r="X93" s="794"/>
      <c r="Y93" s="795"/>
      <c r="Z93" s="796">
        <f>42+50+26</f>
        <v>118</v>
      </c>
      <c r="AA93" s="797"/>
      <c r="AB93" s="797"/>
      <c r="AC93" s="797"/>
      <c r="AD93" s="783">
        <v>0.42199999999999999</v>
      </c>
      <c r="AE93" s="783"/>
      <c r="AF93" s="783"/>
      <c r="AG93" s="783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Y93" s="789"/>
      <c r="AZ93" s="789"/>
    </row>
    <row r="94" spans="1:54" s="1" customFormat="1" ht="15.6" customHeight="1" x14ac:dyDescent="0.15">
      <c r="A94" s="52"/>
      <c r="B94" s="771"/>
      <c r="C94" s="772"/>
      <c r="D94" s="773"/>
      <c r="E94" s="784" t="s">
        <v>54</v>
      </c>
      <c r="F94" s="784"/>
      <c r="G94" s="784"/>
      <c r="H94" s="784"/>
      <c r="I94" s="784"/>
      <c r="J94" s="790">
        <v>20</v>
      </c>
      <c r="K94" s="790"/>
      <c r="L94" s="790"/>
      <c r="M94" s="790"/>
      <c r="N94" s="791">
        <f>J94/SUM(J92:M96)</f>
        <v>1.6570008285004142E-2</v>
      </c>
      <c r="O94" s="791"/>
      <c r="P94" s="791"/>
      <c r="Q94" s="791"/>
      <c r="R94" s="792">
        <v>15</v>
      </c>
      <c r="S94" s="790"/>
      <c r="T94" s="790"/>
      <c r="U94" s="790"/>
      <c r="V94" s="793">
        <f>R94/V86</f>
        <v>1.3599274705349048E-2</v>
      </c>
      <c r="W94" s="794"/>
      <c r="X94" s="794"/>
      <c r="Y94" s="795"/>
      <c r="Z94" s="796">
        <f>2+0+4</f>
        <v>6</v>
      </c>
      <c r="AA94" s="797"/>
      <c r="AB94" s="797"/>
      <c r="AC94" s="797"/>
      <c r="AD94" s="783">
        <f>Z94/AA86</f>
        <v>2.1505376344086023E-2</v>
      </c>
      <c r="AE94" s="783"/>
      <c r="AF94" s="783"/>
      <c r="AG94" s="783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Y94" s="789"/>
      <c r="AZ94" s="789"/>
    </row>
    <row r="95" spans="1:54" s="1" customFormat="1" ht="15.6" customHeight="1" x14ac:dyDescent="0.15">
      <c r="A95" s="52"/>
      <c r="B95" s="771"/>
      <c r="C95" s="772"/>
      <c r="D95" s="773"/>
      <c r="E95" s="798" t="s">
        <v>55</v>
      </c>
      <c r="F95" s="798"/>
      <c r="G95" s="798"/>
      <c r="H95" s="798"/>
      <c r="I95" s="798"/>
      <c r="J95" s="790">
        <v>0</v>
      </c>
      <c r="K95" s="790"/>
      <c r="L95" s="790"/>
      <c r="M95" s="790"/>
      <c r="N95" s="791">
        <f>J95/SUM(J92:M96)</f>
        <v>0</v>
      </c>
      <c r="O95" s="791"/>
      <c r="P95" s="791"/>
      <c r="Q95" s="791"/>
      <c r="R95" s="792">
        <v>0</v>
      </c>
      <c r="S95" s="790"/>
      <c r="T95" s="790"/>
      <c r="U95" s="790"/>
      <c r="V95" s="793">
        <v>0</v>
      </c>
      <c r="W95" s="794"/>
      <c r="X95" s="794"/>
      <c r="Y95" s="795"/>
      <c r="Z95" s="796">
        <f>0+0+0</f>
        <v>0</v>
      </c>
      <c r="AA95" s="797"/>
      <c r="AB95" s="797"/>
      <c r="AC95" s="797"/>
      <c r="AD95" s="783">
        <v>0</v>
      </c>
      <c r="AE95" s="783"/>
      <c r="AF95" s="783"/>
      <c r="AG95" s="783"/>
      <c r="AH95" s="13"/>
      <c r="AI95" s="16"/>
      <c r="AJ95" s="16"/>
      <c r="AK95" s="799"/>
      <c r="AL95" s="799"/>
      <c r="AM95" s="799"/>
      <c r="AN95" s="13"/>
      <c r="AO95" s="13"/>
      <c r="AP95" s="72"/>
      <c r="AQ95" s="72"/>
      <c r="AR95" s="72"/>
      <c r="AS95" s="72"/>
      <c r="AT95" s="72"/>
      <c r="AU95" s="72"/>
      <c r="AV95" s="73"/>
      <c r="AW95" s="73"/>
      <c r="AX95" s="73"/>
      <c r="AY95" s="789"/>
      <c r="AZ95" s="789"/>
      <c r="BA95" s="73"/>
    </row>
    <row r="96" spans="1:54" s="1" customFormat="1" ht="15.6" customHeight="1" x14ac:dyDescent="0.15">
      <c r="A96" s="52"/>
      <c r="B96" s="774"/>
      <c r="C96" s="775"/>
      <c r="D96" s="776"/>
      <c r="E96" s="805" t="s">
        <v>56</v>
      </c>
      <c r="F96" s="805"/>
      <c r="G96" s="805"/>
      <c r="H96" s="805"/>
      <c r="I96" s="805"/>
      <c r="J96" s="806">
        <v>394</v>
      </c>
      <c r="K96" s="806"/>
      <c r="L96" s="806"/>
      <c r="M96" s="806"/>
      <c r="N96" s="807">
        <v>0.32600000000000001</v>
      </c>
      <c r="O96" s="807"/>
      <c r="P96" s="807"/>
      <c r="Q96" s="807"/>
      <c r="R96" s="808">
        <v>491</v>
      </c>
      <c r="S96" s="806"/>
      <c r="T96" s="806"/>
      <c r="U96" s="806"/>
      <c r="V96" s="809">
        <f>R96/V86</f>
        <v>0.44514959202175886</v>
      </c>
      <c r="W96" s="810"/>
      <c r="X96" s="810"/>
      <c r="Y96" s="811"/>
      <c r="Z96" s="812">
        <f>20+45+32</f>
        <v>97</v>
      </c>
      <c r="AA96" s="813"/>
      <c r="AB96" s="813"/>
      <c r="AC96" s="813"/>
      <c r="AD96" s="783">
        <f>Z96/AA86</f>
        <v>0.34767025089605735</v>
      </c>
      <c r="AE96" s="783"/>
      <c r="AF96" s="783"/>
      <c r="AG96" s="783"/>
      <c r="AH96" s="13"/>
      <c r="AI96" s="13"/>
      <c r="AJ96" s="800"/>
      <c r="AK96" s="800"/>
      <c r="AL96" s="800"/>
      <c r="AM96" s="13"/>
      <c r="AN96" s="13"/>
      <c r="AO96" s="13"/>
      <c r="AP96" s="13"/>
      <c r="AQ96" s="13"/>
      <c r="AY96" s="789"/>
      <c r="AZ96" s="789"/>
      <c r="BA96" s="801"/>
      <c r="BB96" s="801"/>
    </row>
    <row r="97" spans="1:54" s="1" customFormat="1" ht="15.6" customHeight="1" x14ac:dyDescent="0.15">
      <c r="A97" s="52"/>
      <c r="B97" s="768" t="s">
        <v>75</v>
      </c>
      <c r="C97" s="769"/>
      <c r="D97" s="770"/>
      <c r="E97" s="777" t="s">
        <v>57</v>
      </c>
      <c r="F97" s="777"/>
      <c r="G97" s="777"/>
      <c r="H97" s="777"/>
      <c r="I97" s="777"/>
      <c r="J97" s="778">
        <v>113</v>
      </c>
      <c r="K97" s="778"/>
      <c r="L97" s="778"/>
      <c r="M97" s="778"/>
      <c r="N97" s="779">
        <f>J97/SUM(J97:M100)</f>
        <v>9.3620546810273403E-2</v>
      </c>
      <c r="O97" s="779"/>
      <c r="P97" s="779"/>
      <c r="Q97" s="779"/>
      <c r="R97" s="778">
        <v>86</v>
      </c>
      <c r="S97" s="778"/>
      <c r="T97" s="778"/>
      <c r="U97" s="778"/>
      <c r="V97" s="802">
        <f>R97/SUM(R97:U100)</f>
        <v>7.7969174977334549E-2</v>
      </c>
      <c r="W97" s="803"/>
      <c r="X97" s="803"/>
      <c r="Y97" s="804"/>
      <c r="Z97" s="782">
        <f>3+16+6</f>
        <v>25</v>
      </c>
      <c r="AA97" s="782"/>
      <c r="AB97" s="782"/>
      <c r="AC97" s="782"/>
      <c r="AD97" s="814">
        <f>Z97/AA86</f>
        <v>8.9605734767025089E-2</v>
      </c>
      <c r="AE97" s="814"/>
      <c r="AF97" s="814"/>
      <c r="AG97" s="814"/>
      <c r="AH97" s="13"/>
      <c r="AI97" s="13"/>
      <c r="AJ97" s="13"/>
      <c r="AK97" s="799"/>
      <c r="AL97" s="799"/>
      <c r="AM97" s="799"/>
      <c r="AN97" s="13"/>
      <c r="AO97" s="13"/>
      <c r="AP97" s="13"/>
      <c r="AQ97" s="13"/>
      <c r="AY97" s="789"/>
      <c r="AZ97" s="789"/>
    </row>
    <row r="98" spans="1:54" s="1" customFormat="1" ht="15.6" customHeight="1" x14ac:dyDescent="0.15">
      <c r="A98" s="52"/>
      <c r="B98" s="771"/>
      <c r="C98" s="772"/>
      <c r="D98" s="773"/>
      <c r="E98" s="784" t="s">
        <v>58</v>
      </c>
      <c r="F98" s="784"/>
      <c r="G98" s="784"/>
      <c r="H98" s="784"/>
      <c r="I98" s="784"/>
      <c r="J98" s="790">
        <v>62</v>
      </c>
      <c r="K98" s="790"/>
      <c r="L98" s="790"/>
      <c r="M98" s="790"/>
      <c r="N98" s="791">
        <f>J98/SUM(J97:M100)</f>
        <v>5.136702568351284E-2</v>
      </c>
      <c r="O98" s="791"/>
      <c r="P98" s="791"/>
      <c r="Q98" s="791"/>
      <c r="R98" s="790">
        <v>57</v>
      </c>
      <c r="S98" s="790"/>
      <c r="T98" s="790"/>
      <c r="U98" s="790"/>
      <c r="V98" s="793">
        <f>R98/SUM(R97:U100)</f>
        <v>5.1677243880326386E-2</v>
      </c>
      <c r="W98" s="794"/>
      <c r="X98" s="794"/>
      <c r="Y98" s="795"/>
      <c r="Z98" s="797">
        <f>2+2+7</f>
        <v>11</v>
      </c>
      <c r="AA98" s="797"/>
      <c r="AB98" s="797"/>
      <c r="AC98" s="797"/>
      <c r="AD98" s="783">
        <f>Z98/AA86</f>
        <v>3.9426523297491037E-2</v>
      </c>
      <c r="AE98" s="783"/>
      <c r="AF98" s="783"/>
      <c r="AG98" s="78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Y98" s="789"/>
      <c r="AZ98" s="789"/>
    </row>
    <row r="99" spans="1:54" s="3" customFormat="1" ht="15.6" customHeight="1" x14ac:dyDescent="0.15">
      <c r="A99" s="52"/>
      <c r="B99" s="771"/>
      <c r="C99" s="772"/>
      <c r="D99" s="773"/>
      <c r="E99" s="784" t="s">
        <v>59</v>
      </c>
      <c r="F99" s="784"/>
      <c r="G99" s="784"/>
      <c r="H99" s="784"/>
      <c r="I99" s="784"/>
      <c r="J99" s="790">
        <v>341</v>
      </c>
      <c r="K99" s="790"/>
      <c r="L99" s="790"/>
      <c r="M99" s="790"/>
      <c r="N99" s="791">
        <f>J99/SUM(J97:M100)</f>
        <v>0.28251864125932064</v>
      </c>
      <c r="O99" s="791"/>
      <c r="P99" s="791"/>
      <c r="Q99" s="791"/>
      <c r="R99" s="790">
        <v>361</v>
      </c>
      <c r="S99" s="790"/>
      <c r="T99" s="790"/>
      <c r="U99" s="790"/>
      <c r="V99" s="793">
        <f>R99/SUM(R97:U100)</f>
        <v>0.32728921124206711</v>
      </c>
      <c r="W99" s="794"/>
      <c r="X99" s="794"/>
      <c r="Y99" s="795"/>
      <c r="Z99" s="797">
        <f>21+36+30</f>
        <v>87</v>
      </c>
      <c r="AA99" s="797"/>
      <c r="AB99" s="797"/>
      <c r="AC99" s="797"/>
      <c r="AD99" s="783">
        <f>Z99/AA86</f>
        <v>0.31182795698924731</v>
      </c>
      <c r="AE99" s="783"/>
      <c r="AF99" s="783"/>
      <c r="AG99" s="78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Y99" s="789"/>
      <c r="AZ99" s="789"/>
    </row>
    <row r="100" spans="1:54" s="3" customFormat="1" ht="15.6" customHeight="1" x14ac:dyDescent="0.15">
      <c r="A100" s="52"/>
      <c r="B100" s="774"/>
      <c r="C100" s="775"/>
      <c r="D100" s="776"/>
      <c r="E100" s="805" t="s">
        <v>56</v>
      </c>
      <c r="F100" s="805"/>
      <c r="G100" s="805"/>
      <c r="H100" s="805"/>
      <c r="I100" s="805"/>
      <c r="J100" s="806">
        <v>691</v>
      </c>
      <c r="K100" s="806"/>
      <c r="L100" s="806"/>
      <c r="M100" s="806"/>
      <c r="N100" s="807">
        <f>J100/SUM(J97:M100)</f>
        <v>0.57249378624689318</v>
      </c>
      <c r="O100" s="807"/>
      <c r="P100" s="807"/>
      <c r="Q100" s="807"/>
      <c r="R100" s="806">
        <v>599</v>
      </c>
      <c r="S100" s="806"/>
      <c r="T100" s="806"/>
      <c r="U100" s="806"/>
      <c r="V100" s="809">
        <f>R100/SUM(R97:U100)</f>
        <v>0.54306436990027196</v>
      </c>
      <c r="W100" s="810"/>
      <c r="X100" s="810"/>
      <c r="Y100" s="811"/>
      <c r="Z100" s="813">
        <f>51+68+37</f>
        <v>156</v>
      </c>
      <c r="AA100" s="813"/>
      <c r="AB100" s="813"/>
      <c r="AC100" s="813"/>
      <c r="AD100" s="817">
        <f>Z100/AA86</f>
        <v>0.55913978494623651</v>
      </c>
      <c r="AE100" s="817"/>
      <c r="AF100" s="817"/>
      <c r="AG100" s="817"/>
      <c r="AH100" s="13"/>
      <c r="AI100" s="13"/>
      <c r="AJ100" s="800"/>
      <c r="AK100" s="800"/>
      <c r="AL100" s="800"/>
      <c r="AM100" s="83"/>
      <c r="AN100" s="13"/>
      <c r="AO100" s="13"/>
      <c r="AP100" s="13"/>
      <c r="AQ100" s="13"/>
      <c r="AY100" s="789"/>
      <c r="AZ100" s="789"/>
      <c r="BA100" s="789"/>
      <c r="BB100" s="789"/>
    </row>
    <row r="101" spans="1:54" s="3" customFormat="1" ht="15.6" customHeight="1" x14ac:dyDescent="0.15">
      <c r="A101" s="55"/>
      <c r="Y101" s="2"/>
      <c r="Z101" s="2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Y101" s="79"/>
      <c r="AZ101" s="79"/>
    </row>
    <row r="102" spans="1:54" s="3" customFormat="1" ht="15.6" customHeight="1" x14ac:dyDescent="0.15">
      <c r="A102" s="14" t="s">
        <v>1</v>
      </c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AG102" s="4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Y102" s="79"/>
      <c r="AZ102" s="79"/>
    </row>
    <row r="103" spans="1:54" s="3" customFormat="1" ht="15.6" customHeight="1" x14ac:dyDescent="0.15">
      <c r="A103" s="50" t="s">
        <v>176</v>
      </c>
      <c r="AG103" s="4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Y103" s="79"/>
      <c r="AZ103" s="79"/>
    </row>
    <row r="104" spans="1:54" s="3" customFormat="1" ht="15.6" customHeight="1" x14ac:dyDescent="0.15">
      <c r="A104" s="55"/>
      <c r="B104" s="595" t="s">
        <v>14</v>
      </c>
      <c r="C104" s="595"/>
      <c r="D104" s="595" t="s">
        <v>15</v>
      </c>
      <c r="E104" s="595"/>
      <c r="F104" s="595"/>
      <c r="G104" s="595"/>
      <c r="H104" s="595"/>
      <c r="I104" s="595" t="s">
        <v>16</v>
      </c>
      <c r="J104" s="595"/>
      <c r="K104" s="595"/>
      <c r="L104" s="595"/>
      <c r="M104" s="595"/>
      <c r="N104" s="595" t="s">
        <v>17</v>
      </c>
      <c r="O104" s="595"/>
      <c r="P104" s="595"/>
      <c r="Q104" s="595"/>
      <c r="R104" s="595"/>
      <c r="S104" s="595" t="s">
        <v>18</v>
      </c>
      <c r="T104" s="595"/>
      <c r="U104" s="595"/>
      <c r="V104" s="595"/>
      <c r="W104" s="595"/>
      <c r="X104" s="595" t="s">
        <v>19</v>
      </c>
      <c r="Y104" s="595"/>
      <c r="Z104" s="595"/>
      <c r="AA104" s="595"/>
      <c r="AB104" s="595"/>
      <c r="AC104" s="595" t="s">
        <v>20</v>
      </c>
      <c r="AD104" s="595"/>
      <c r="AE104" s="595"/>
      <c r="AF104" s="595"/>
      <c r="AG104" s="7"/>
      <c r="AH104" s="14"/>
      <c r="AI104" s="14"/>
      <c r="AJ104" s="14"/>
      <c r="AK104" s="14"/>
      <c r="AL104" s="14"/>
      <c r="AM104" s="14"/>
      <c r="AN104" s="14"/>
      <c r="AY104" s="79"/>
      <c r="AZ104" s="79"/>
    </row>
    <row r="105" spans="1:54" ht="15.6" customHeight="1" x14ac:dyDescent="0.15">
      <c r="A105" s="52"/>
      <c r="B105" s="815" t="s">
        <v>9</v>
      </c>
      <c r="C105" s="815"/>
      <c r="D105" s="816">
        <v>46</v>
      </c>
      <c r="E105" s="816"/>
      <c r="F105" s="816"/>
      <c r="G105" s="816"/>
      <c r="H105" s="816"/>
      <c r="I105" s="816">
        <v>2</v>
      </c>
      <c r="J105" s="816"/>
      <c r="K105" s="816"/>
      <c r="L105" s="816"/>
      <c r="M105" s="816"/>
      <c r="N105" s="816">
        <v>0</v>
      </c>
      <c r="O105" s="816"/>
      <c r="P105" s="816"/>
      <c r="Q105" s="816"/>
      <c r="R105" s="816"/>
      <c r="S105" s="816">
        <v>43</v>
      </c>
      <c r="T105" s="816"/>
      <c r="U105" s="816"/>
      <c r="V105" s="816"/>
      <c r="W105" s="816"/>
      <c r="X105" s="816">
        <v>19</v>
      </c>
      <c r="Y105" s="816"/>
      <c r="Z105" s="816"/>
      <c r="AA105" s="816"/>
      <c r="AB105" s="816"/>
      <c r="AC105" s="816">
        <f>S105-X105</f>
        <v>24</v>
      </c>
      <c r="AD105" s="816"/>
      <c r="AE105" s="816"/>
      <c r="AF105" s="816"/>
    </row>
    <row r="106" spans="1:54" ht="15.6" customHeight="1" x14ac:dyDescent="0.15">
      <c r="A106" s="50" t="s">
        <v>187</v>
      </c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</row>
    <row r="107" spans="1:54" ht="15.6" customHeight="1" x14ac:dyDescent="0.15">
      <c r="A107" s="55"/>
      <c r="B107" s="595" t="s">
        <v>14</v>
      </c>
      <c r="C107" s="595"/>
      <c r="D107" s="595" t="s">
        <v>15</v>
      </c>
      <c r="E107" s="595"/>
      <c r="F107" s="595"/>
      <c r="G107" s="595"/>
      <c r="H107" s="595"/>
      <c r="I107" s="595" t="s">
        <v>16</v>
      </c>
      <c r="J107" s="595"/>
      <c r="K107" s="595"/>
      <c r="L107" s="595"/>
      <c r="M107" s="595"/>
      <c r="N107" s="595" t="s">
        <v>17</v>
      </c>
      <c r="O107" s="595"/>
      <c r="P107" s="595"/>
      <c r="Q107" s="595"/>
      <c r="R107" s="595"/>
      <c r="S107" s="595" t="s">
        <v>18</v>
      </c>
      <c r="T107" s="595"/>
      <c r="U107" s="595"/>
      <c r="V107" s="595"/>
      <c r="W107" s="595"/>
      <c r="X107" s="595" t="s">
        <v>19</v>
      </c>
      <c r="Y107" s="595"/>
      <c r="Z107" s="595"/>
      <c r="AA107" s="595"/>
      <c r="AB107" s="595"/>
      <c r="AC107" s="595" t="s">
        <v>20</v>
      </c>
      <c r="AD107" s="595"/>
      <c r="AE107" s="595"/>
      <c r="AF107" s="595"/>
    </row>
    <row r="108" spans="1:54" s="7" customFormat="1" ht="15.6" customHeight="1" x14ac:dyDescent="0.15">
      <c r="A108" s="13"/>
      <c r="B108" s="827" t="s">
        <v>9</v>
      </c>
      <c r="C108" s="827"/>
      <c r="D108" s="750">
        <f>1+4+5</f>
        <v>10</v>
      </c>
      <c r="E108" s="750"/>
      <c r="F108" s="750"/>
      <c r="G108" s="750"/>
      <c r="H108" s="750"/>
      <c r="I108" s="750">
        <f>0+0+1</f>
        <v>1</v>
      </c>
      <c r="J108" s="750"/>
      <c r="K108" s="750"/>
      <c r="L108" s="750"/>
      <c r="M108" s="750"/>
      <c r="N108" s="750">
        <f>0+0</f>
        <v>0</v>
      </c>
      <c r="O108" s="750"/>
      <c r="P108" s="750"/>
      <c r="Q108" s="750"/>
      <c r="R108" s="750"/>
      <c r="S108" s="750">
        <f>3+3</f>
        <v>6</v>
      </c>
      <c r="T108" s="750"/>
      <c r="U108" s="750"/>
      <c r="V108" s="750"/>
      <c r="W108" s="750"/>
      <c r="X108" s="750">
        <f>0+6+3</f>
        <v>9</v>
      </c>
      <c r="Y108" s="750"/>
      <c r="Z108" s="750"/>
      <c r="AA108" s="750"/>
      <c r="AB108" s="750"/>
      <c r="AC108" s="750">
        <f>S108-X108</f>
        <v>-3</v>
      </c>
      <c r="AD108" s="750"/>
      <c r="AE108" s="750"/>
      <c r="AF108" s="750"/>
      <c r="AY108" s="80"/>
      <c r="AZ108" s="80"/>
    </row>
    <row r="110" spans="1:54" ht="15.6" customHeight="1" x14ac:dyDescent="0.15">
      <c r="I110" s="820"/>
      <c r="J110" s="819"/>
      <c r="K110" s="819"/>
      <c r="L110" s="819"/>
      <c r="S110" s="820"/>
      <c r="T110" s="819"/>
      <c r="U110" s="819"/>
      <c r="V110" s="819"/>
      <c r="Z110" s="820"/>
      <c r="AA110" s="819"/>
      <c r="AB110" s="819"/>
      <c r="AC110" s="819"/>
    </row>
    <row r="111" spans="1:54" ht="15.6" customHeight="1" x14ac:dyDescent="0.15">
      <c r="D111" s="19"/>
      <c r="I111" s="819"/>
      <c r="J111" s="819"/>
      <c r="K111" s="819"/>
      <c r="L111" s="819"/>
      <c r="M111" s="819"/>
      <c r="N111" s="821"/>
      <c r="O111" s="821"/>
      <c r="P111" s="821"/>
      <c r="Q111" s="821"/>
      <c r="R111" s="819"/>
      <c r="S111" s="819"/>
      <c r="T111" s="819"/>
      <c r="U111" s="819"/>
      <c r="Z111" s="819"/>
      <c r="AA111" s="819"/>
      <c r="AB111" s="819"/>
      <c r="AC111" s="819"/>
    </row>
    <row r="112" spans="1:54" ht="15.6" customHeight="1" x14ac:dyDescent="0.15">
      <c r="I112" s="819"/>
      <c r="J112" s="819"/>
      <c r="K112" s="819"/>
      <c r="L112" s="819"/>
      <c r="M112" s="819"/>
      <c r="N112" s="819"/>
      <c r="O112" s="819"/>
      <c r="P112" s="819"/>
      <c r="Q112" s="819"/>
      <c r="R112" s="819"/>
      <c r="S112" s="819"/>
      <c r="T112" s="819"/>
      <c r="U112" s="819"/>
      <c r="Z112" s="819"/>
      <c r="AA112" s="819"/>
      <c r="AB112" s="819"/>
      <c r="AC112" s="819"/>
    </row>
    <row r="113" spans="4:29" ht="15.6" customHeight="1" x14ac:dyDescent="0.15">
      <c r="D113" s="19"/>
      <c r="I113" s="819"/>
      <c r="J113" s="819"/>
      <c r="K113" s="819"/>
      <c r="L113" s="819"/>
      <c r="M113" s="819"/>
      <c r="N113" s="819"/>
      <c r="O113" s="819"/>
      <c r="P113" s="819"/>
      <c r="Q113" s="819"/>
      <c r="R113" s="819"/>
      <c r="S113" s="819"/>
      <c r="T113" s="819"/>
      <c r="U113" s="819"/>
      <c r="Z113" s="819"/>
      <c r="AA113" s="819"/>
      <c r="AB113" s="819"/>
      <c r="AC113" s="819"/>
    </row>
  </sheetData>
  <mergeCells count="482">
    <mergeCell ref="I112:M112"/>
    <mergeCell ref="N112:Q112"/>
    <mergeCell ref="R112:U112"/>
    <mergeCell ref="Z112:AC112"/>
    <mergeCell ref="I113:M113"/>
    <mergeCell ref="N113:Q113"/>
    <mergeCell ref="R113:U113"/>
    <mergeCell ref="Z113:AC113"/>
    <mergeCell ref="I110:L110"/>
    <mergeCell ref="S110:V110"/>
    <mergeCell ref="Z110:AC110"/>
    <mergeCell ref="I111:M111"/>
    <mergeCell ref="N111:Q111"/>
    <mergeCell ref="R111:U111"/>
    <mergeCell ref="Z111:AC111"/>
    <mergeCell ref="B108:C108"/>
    <mergeCell ref="D108:H108"/>
    <mergeCell ref="I108:M108"/>
    <mergeCell ref="N108:R108"/>
    <mergeCell ref="S108:W108"/>
    <mergeCell ref="X108:AB108"/>
    <mergeCell ref="AC108:AF108"/>
    <mergeCell ref="B107:C107"/>
    <mergeCell ref="D107:H107"/>
    <mergeCell ref="I107:M107"/>
    <mergeCell ref="N107:R107"/>
    <mergeCell ref="S107:W107"/>
    <mergeCell ref="X107:AB107"/>
    <mergeCell ref="B105:C105"/>
    <mergeCell ref="D105:H105"/>
    <mergeCell ref="I105:M105"/>
    <mergeCell ref="N105:R105"/>
    <mergeCell ref="S105:W105"/>
    <mergeCell ref="X105:AB105"/>
    <mergeCell ref="AC105:AF105"/>
    <mergeCell ref="AD100:AG100"/>
    <mergeCell ref="AC107:AF107"/>
    <mergeCell ref="AJ100:AL100"/>
    <mergeCell ref="AY100:AZ100"/>
    <mergeCell ref="BA100:BB100"/>
    <mergeCell ref="B104:C104"/>
    <mergeCell ref="D104:H104"/>
    <mergeCell ref="I104:M104"/>
    <mergeCell ref="N104:R104"/>
    <mergeCell ref="S104:W104"/>
    <mergeCell ref="X104:AB104"/>
    <mergeCell ref="E100:I100"/>
    <mergeCell ref="J100:M100"/>
    <mergeCell ref="N100:Q100"/>
    <mergeCell ref="R100:U100"/>
    <mergeCell ref="V100:Y100"/>
    <mergeCell ref="Z100:AC100"/>
    <mergeCell ref="AC104:AF104"/>
    <mergeCell ref="Z98:AC98"/>
    <mergeCell ref="AD98:AG98"/>
    <mergeCell ref="AY98:AZ98"/>
    <mergeCell ref="E99:I99"/>
    <mergeCell ref="J99:M99"/>
    <mergeCell ref="N99:Q99"/>
    <mergeCell ref="R99:U99"/>
    <mergeCell ref="V99:Y99"/>
    <mergeCell ref="Z99:AC99"/>
    <mergeCell ref="AD99:AG99"/>
    <mergeCell ref="AY99:AZ99"/>
    <mergeCell ref="AJ96:AL96"/>
    <mergeCell ref="AY96:AZ96"/>
    <mergeCell ref="BA96:BB96"/>
    <mergeCell ref="B97:D100"/>
    <mergeCell ref="E97:I97"/>
    <mergeCell ref="J97:M97"/>
    <mergeCell ref="N97:Q97"/>
    <mergeCell ref="R97:U97"/>
    <mergeCell ref="V97:Y97"/>
    <mergeCell ref="E96:I96"/>
    <mergeCell ref="J96:M96"/>
    <mergeCell ref="N96:Q96"/>
    <mergeCell ref="R96:U96"/>
    <mergeCell ref="V96:Y96"/>
    <mergeCell ref="Z96:AC96"/>
    <mergeCell ref="Z97:AC97"/>
    <mergeCell ref="AD97:AG97"/>
    <mergeCell ref="AK97:AM97"/>
    <mergeCell ref="AY97:AZ97"/>
    <mergeCell ref="E98:I98"/>
    <mergeCell ref="J98:M98"/>
    <mergeCell ref="N98:Q98"/>
    <mergeCell ref="R98:U98"/>
    <mergeCell ref="V98:Y98"/>
    <mergeCell ref="AY94:AZ94"/>
    <mergeCell ref="E95:I95"/>
    <mergeCell ref="J95:M95"/>
    <mergeCell ref="N95:Q95"/>
    <mergeCell ref="R95:U95"/>
    <mergeCell ref="V95:Y95"/>
    <mergeCell ref="Z95:AC95"/>
    <mergeCell ref="AD95:AG95"/>
    <mergeCell ref="AK95:AM95"/>
    <mergeCell ref="AY95:AZ95"/>
    <mergeCell ref="J94:M94"/>
    <mergeCell ref="N94:Q94"/>
    <mergeCell ref="R94:U94"/>
    <mergeCell ref="V94:Y94"/>
    <mergeCell ref="Z94:AC94"/>
    <mergeCell ref="AD94:AG94"/>
    <mergeCell ref="AY92:AZ92"/>
    <mergeCell ref="E93:I93"/>
    <mergeCell ref="J93:M93"/>
    <mergeCell ref="N93:Q93"/>
    <mergeCell ref="R93:U93"/>
    <mergeCell ref="V93:Y93"/>
    <mergeCell ref="Z93:AC93"/>
    <mergeCell ref="AD93:AG93"/>
    <mergeCell ref="AY93:AZ93"/>
    <mergeCell ref="AD91:AG91"/>
    <mergeCell ref="B92:D96"/>
    <mergeCell ref="E92:I92"/>
    <mergeCell ref="J92:M92"/>
    <mergeCell ref="N92:Q92"/>
    <mergeCell ref="R92:U92"/>
    <mergeCell ref="V92:Y92"/>
    <mergeCell ref="Z92:AC92"/>
    <mergeCell ref="AD92:AG92"/>
    <mergeCell ref="E94:I94"/>
    <mergeCell ref="B90:D91"/>
    <mergeCell ref="E90:I91"/>
    <mergeCell ref="J90:Q90"/>
    <mergeCell ref="R90:Y90"/>
    <mergeCell ref="Z90:AG90"/>
    <mergeCell ref="J91:M91"/>
    <mergeCell ref="N91:Q91"/>
    <mergeCell ref="R91:U91"/>
    <mergeCell ref="V91:Y91"/>
    <mergeCell ref="Z91:AC91"/>
    <mergeCell ref="AD96:AG96"/>
    <mergeCell ref="AI86:AK86"/>
    <mergeCell ref="B87:F87"/>
    <mergeCell ref="G87:K87"/>
    <mergeCell ref="L87:P87"/>
    <mergeCell ref="Q87:U87"/>
    <mergeCell ref="V87:Z87"/>
    <mergeCell ref="AA87:AE87"/>
    <mergeCell ref="AA85:AE85"/>
    <mergeCell ref="B86:F86"/>
    <mergeCell ref="G86:K86"/>
    <mergeCell ref="L86:P86"/>
    <mergeCell ref="Q86:U86"/>
    <mergeCell ref="V86:Z86"/>
    <mergeCell ref="AA86:AE86"/>
    <mergeCell ref="B82:G82"/>
    <mergeCell ref="H82:M82"/>
    <mergeCell ref="N82:S82"/>
    <mergeCell ref="T82:Y82"/>
    <mergeCell ref="Z82:AG82"/>
    <mergeCell ref="B85:F85"/>
    <mergeCell ref="G85:K85"/>
    <mergeCell ref="L85:P85"/>
    <mergeCell ref="Q85:U85"/>
    <mergeCell ref="V85:Z85"/>
    <mergeCell ref="B80:G80"/>
    <mergeCell ref="H80:M80"/>
    <mergeCell ref="N80:S80"/>
    <mergeCell ref="T80:Y80"/>
    <mergeCell ref="Z80:AG80"/>
    <mergeCell ref="B81:G81"/>
    <mergeCell ref="H81:M81"/>
    <mergeCell ref="N81:S81"/>
    <mergeCell ref="T81:Y81"/>
    <mergeCell ref="Z81:AG81"/>
    <mergeCell ref="B78:G78"/>
    <mergeCell ref="H78:M78"/>
    <mergeCell ref="N78:S78"/>
    <mergeCell ref="T78:Y78"/>
    <mergeCell ref="Z78:AG78"/>
    <mergeCell ref="B79:G79"/>
    <mergeCell ref="H79:M79"/>
    <mergeCell ref="N79:S79"/>
    <mergeCell ref="T79:Y79"/>
    <mergeCell ref="Z79:AG79"/>
    <mergeCell ref="H71:J72"/>
    <mergeCell ref="K71:L72"/>
    <mergeCell ref="M71:N72"/>
    <mergeCell ref="O71:Q72"/>
    <mergeCell ref="X73:Y73"/>
    <mergeCell ref="Z73:AB73"/>
    <mergeCell ref="AC73:AD73"/>
    <mergeCell ref="AE73:AG73"/>
    <mergeCell ref="B76:G77"/>
    <mergeCell ref="H76:Y76"/>
    <mergeCell ref="Z76:AG77"/>
    <mergeCell ref="H77:M77"/>
    <mergeCell ref="N77:S77"/>
    <mergeCell ref="T77:Y77"/>
    <mergeCell ref="AQ67:AR67"/>
    <mergeCell ref="AQ68:AR68"/>
    <mergeCell ref="V67:W68"/>
    <mergeCell ref="X67:Y68"/>
    <mergeCell ref="Z67:AB68"/>
    <mergeCell ref="AC67:AD68"/>
    <mergeCell ref="AE71:AG72"/>
    <mergeCell ref="B73:D73"/>
    <mergeCell ref="E73:G73"/>
    <mergeCell ref="H73:J73"/>
    <mergeCell ref="K73:L73"/>
    <mergeCell ref="M73:N73"/>
    <mergeCell ref="O73:Q73"/>
    <mergeCell ref="R73:S73"/>
    <mergeCell ref="T73:U73"/>
    <mergeCell ref="V73:W73"/>
    <mergeCell ref="R71:S72"/>
    <mergeCell ref="T71:U72"/>
    <mergeCell ref="V71:W72"/>
    <mergeCell ref="X71:Y72"/>
    <mergeCell ref="Z71:AB72"/>
    <mergeCell ref="AC71:AD72"/>
    <mergeCell ref="B71:D72"/>
    <mergeCell ref="E71:G72"/>
    <mergeCell ref="AQ63:AR63"/>
    <mergeCell ref="AQ64:AR64"/>
    <mergeCell ref="B69:D70"/>
    <mergeCell ref="E69:G70"/>
    <mergeCell ref="H69:J70"/>
    <mergeCell ref="K69:L70"/>
    <mergeCell ref="M69:N70"/>
    <mergeCell ref="O69:Q70"/>
    <mergeCell ref="R69:S70"/>
    <mergeCell ref="R67:S68"/>
    <mergeCell ref="T67:U68"/>
    <mergeCell ref="B67:D68"/>
    <mergeCell ref="E67:G68"/>
    <mergeCell ref="H67:J68"/>
    <mergeCell ref="K67:L68"/>
    <mergeCell ref="M67:N68"/>
    <mergeCell ref="O67:Q68"/>
    <mergeCell ref="T69:U70"/>
    <mergeCell ref="V69:W70"/>
    <mergeCell ref="X69:Y70"/>
    <mergeCell ref="Z69:AB70"/>
    <mergeCell ref="AC69:AD70"/>
    <mergeCell ref="AE69:AG70"/>
    <mergeCell ref="AE67:AG68"/>
    <mergeCell ref="B65:D66"/>
    <mergeCell ref="E65:G66"/>
    <mergeCell ref="H65:J66"/>
    <mergeCell ref="K65:L66"/>
    <mergeCell ref="M65:N66"/>
    <mergeCell ref="O65:Q66"/>
    <mergeCell ref="R65:S66"/>
    <mergeCell ref="T65:U66"/>
    <mergeCell ref="AQ61:AR61"/>
    <mergeCell ref="F62:I62"/>
    <mergeCell ref="J62:M62"/>
    <mergeCell ref="N62:Q62"/>
    <mergeCell ref="R62:U62"/>
    <mergeCell ref="V62:Y62"/>
    <mergeCell ref="Z62:AC62"/>
    <mergeCell ref="AD62:AG62"/>
    <mergeCell ref="AQ62:AR62"/>
    <mergeCell ref="V65:W66"/>
    <mergeCell ref="X65:Y66"/>
    <mergeCell ref="Z65:AB66"/>
    <mergeCell ref="AC65:AD66"/>
    <mergeCell ref="AE65:AG66"/>
    <mergeCell ref="AQ65:AR65"/>
    <mergeCell ref="AQ66:AR66"/>
    <mergeCell ref="V58:Y58"/>
    <mergeCell ref="Z58:AC58"/>
    <mergeCell ref="AD58:AG58"/>
    <mergeCell ref="B61:E62"/>
    <mergeCell ref="F61:I61"/>
    <mergeCell ref="J61:M61"/>
    <mergeCell ref="N61:Q61"/>
    <mergeCell ref="R61:U61"/>
    <mergeCell ref="V61:Y61"/>
    <mergeCell ref="Z61:AC61"/>
    <mergeCell ref="AD61:AG61"/>
    <mergeCell ref="F60:I60"/>
    <mergeCell ref="J60:M60"/>
    <mergeCell ref="N60:Q60"/>
    <mergeCell ref="R60:U60"/>
    <mergeCell ref="V60:Y60"/>
    <mergeCell ref="Z60:AC60"/>
    <mergeCell ref="F57:I57"/>
    <mergeCell ref="J57:M57"/>
    <mergeCell ref="N57:Q57"/>
    <mergeCell ref="R57:U57"/>
    <mergeCell ref="V57:Y57"/>
    <mergeCell ref="Z57:AC57"/>
    <mergeCell ref="AQ58:AR58"/>
    <mergeCell ref="B59:E60"/>
    <mergeCell ref="F59:I59"/>
    <mergeCell ref="J59:M59"/>
    <mergeCell ref="N59:Q59"/>
    <mergeCell ref="R59:U59"/>
    <mergeCell ref="V59:Y59"/>
    <mergeCell ref="Z59:AC59"/>
    <mergeCell ref="AD59:AG59"/>
    <mergeCell ref="AQ59:AR59"/>
    <mergeCell ref="B57:E58"/>
    <mergeCell ref="AD60:AG60"/>
    <mergeCell ref="AQ60:AR60"/>
    <mergeCell ref="AD57:AG57"/>
    <mergeCell ref="F58:I58"/>
    <mergeCell ref="J58:M58"/>
    <mergeCell ref="N58:Q58"/>
    <mergeCell ref="R58:U58"/>
    <mergeCell ref="W48:X48"/>
    <mergeCell ref="AC48:AD48"/>
    <mergeCell ref="D49:G49"/>
    <mergeCell ref="W49:X49"/>
    <mergeCell ref="AC49:AD49"/>
    <mergeCell ref="B56:E56"/>
    <mergeCell ref="F56:I56"/>
    <mergeCell ref="J56:M56"/>
    <mergeCell ref="N56:Q56"/>
    <mergeCell ref="R56:U56"/>
    <mergeCell ref="B39:C49"/>
    <mergeCell ref="D39:F39"/>
    <mergeCell ref="G39:H39"/>
    <mergeCell ref="L39:M39"/>
    <mergeCell ref="Q39:R39"/>
    <mergeCell ref="W39:X39"/>
    <mergeCell ref="AC39:AD39"/>
    <mergeCell ref="V56:Y56"/>
    <mergeCell ref="Z56:AC56"/>
    <mergeCell ref="AD56:AG56"/>
    <mergeCell ref="W45:X45"/>
    <mergeCell ref="AC45:AD45"/>
    <mergeCell ref="W46:X46"/>
    <mergeCell ref="AC46:AD46"/>
    <mergeCell ref="W47:X47"/>
    <mergeCell ref="AC47:AD47"/>
    <mergeCell ref="D43:G43"/>
    <mergeCell ref="Q43:R43"/>
    <mergeCell ref="W43:X43"/>
    <mergeCell ref="AC43:AD43"/>
    <mergeCell ref="W44:X44"/>
    <mergeCell ref="AC44:AD44"/>
    <mergeCell ref="AJ39:AM39"/>
    <mergeCell ref="D40:G40"/>
    <mergeCell ref="AJ41:AM41"/>
    <mergeCell ref="D42:G42"/>
    <mergeCell ref="L42:M42"/>
    <mergeCell ref="Q42:R42"/>
    <mergeCell ref="W42:X42"/>
    <mergeCell ref="AC42:AD42"/>
    <mergeCell ref="L40:M40"/>
    <mergeCell ref="Q40:R40"/>
    <mergeCell ref="W40:X40"/>
    <mergeCell ref="AC40:AD40"/>
    <mergeCell ref="D41:G41"/>
    <mergeCell ref="L41:M41"/>
    <mergeCell ref="Q41:R41"/>
    <mergeCell ref="W41:X41"/>
    <mergeCell ref="AC41:AD41"/>
    <mergeCell ref="AE37:AG37"/>
    <mergeCell ref="B38:C38"/>
    <mergeCell ref="D38:H38"/>
    <mergeCell ref="I38:M38"/>
    <mergeCell ref="N38:R38"/>
    <mergeCell ref="S38:X38"/>
    <mergeCell ref="Y38:AD38"/>
    <mergeCell ref="AE38:AG38"/>
    <mergeCell ref="AJ38:AM38"/>
    <mergeCell ref="W34:X34"/>
    <mergeCell ref="AC34:AD34"/>
    <mergeCell ref="D35:G35"/>
    <mergeCell ref="W35:X35"/>
    <mergeCell ref="AC35:AD35"/>
    <mergeCell ref="B37:C37"/>
    <mergeCell ref="D37:H37"/>
    <mergeCell ref="I37:M37"/>
    <mergeCell ref="N37:R37"/>
    <mergeCell ref="S37:X37"/>
    <mergeCell ref="B25:C35"/>
    <mergeCell ref="Y37:AD37"/>
    <mergeCell ref="W31:X31"/>
    <mergeCell ref="AC31:AD31"/>
    <mergeCell ref="W32:X32"/>
    <mergeCell ref="AC32:AD32"/>
    <mergeCell ref="W33:X33"/>
    <mergeCell ref="AC33:AD33"/>
    <mergeCell ref="D29:G29"/>
    <mergeCell ref="Q29:R29"/>
    <mergeCell ref="W29:X29"/>
    <mergeCell ref="AC29:AD29"/>
    <mergeCell ref="W30:X30"/>
    <mergeCell ref="AC30:AD30"/>
    <mergeCell ref="D28:G28"/>
    <mergeCell ref="L28:M28"/>
    <mergeCell ref="Q28:R28"/>
    <mergeCell ref="W28:X28"/>
    <mergeCell ref="AC28:AD28"/>
    <mergeCell ref="AC25:AD25"/>
    <mergeCell ref="D26:G26"/>
    <mergeCell ref="L26:M26"/>
    <mergeCell ref="Q26:R26"/>
    <mergeCell ref="W26:X26"/>
    <mergeCell ref="AC26:AD26"/>
    <mergeCell ref="D25:F25"/>
    <mergeCell ref="G25:H25"/>
    <mergeCell ref="L25:M25"/>
    <mergeCell ref="Q25:R25"/>
    <mergeCell ref="W25:X25"/>
    <mergeCell ref="D27:G27"/>
    <mergeCell ref="L27:M27"/>
    <mergeCell ref="Q27:R27"/>
    <mergeCell ref="W27:X27"/>
    <mergeCell ref="AE23:AG23"/>
    <mergeCell ref="B24:C24"/>
    <mergeCell ref="D24:H24"/>
    <mergeCell ref="I24:M24"/>
    <mergeCell ref="N24:R24"/>
    <mergeCell ref="S24:X24"/>
    <mergeCell ref="Y24:AD24"/>
    <mergeCell ref="AE24:AG24"/>
    <mergeCell ref="AC27:AD27"/>
    <mergeCell ref="D19:H19"/>
    <mergeCell ref="I19:M19"/>
    <mergeCell ref="N19:R19"/>
    <mergeCell ref="B23:C23"/>
    <mergeCell ref="D23:H23"/>
    <mergeCell ref="I23:M23"/>
    <mergeCell ref="N23:R23"/>
    <mergeCell ref="AH17:AK17"/>
    <mergeCell ref="AX17:AY17"/>
    <mergeCell ref="B18:H18"/>
    <mergeCell ref="I18:M18"/>
    <mergeCell ref="N18:R18"/>
    <mergeCell ref="S18:W18"/>
    <mergeCell ref="X18:AA18"/>
    <mergeCell ref="AC18:AG18"/>
    <mergeCell ref="AH18:AK18"/>
    <mergeCell ref="B17:H17"/>
    <mergeCell ref="I17:M17"/>
    <mergeCell ref="N17:R17"/>
    <mergeCell ref="S17:W17"/>
    <mergeCell ref="X17:AA17"/>
    <mergeCell ref="AC17:AG17"/>
    <mergeCell ref="S23:X23"/>
    <mergeCell ref="Y23:AD23"/>
    <mergeCell ref="AH15:AK15"/>
    <mergeCell ref="B16:H16"/>
    <mergeCell ref="I16:M16"/>
    <mergeCell ref="N16:R16"/>
    <mergeCell ref="S16:W16"/>
    <mergeCell ref="X16:AA16"/>
    <mergeCell ref="AC16:AG16"/>
    <mergeCell ref="AH16:AK16"/>
    <mergeCell ref="B15:H15"/>
    <mergeCell ref="I15:M15"/>
    <mergeCell ref="N15:R15"/>
    <mergeCell ref="S15:W15"/>
    <mergeCell ref="X15:AA15"/>
    <mergeCell ref="AC15:AG15"/>
    <mergeCell ref="AH13:AK13"/>
    <mergeCell ref="I14:M14"/>
    <mergeCell ref="N14:R14"/>
    <mergeCell ref="S14:W14"/>
    <mergeCell ref="X14:AA14"/>
    <mergeCell ref="AC14:AG14"/>
    <mergeCell ref="AH14:AK14"/>
    <mergeCell ref="Y11:AA11"/>
    <mergeCell ref="AC11:AG12"/>
    <mergeCell ref="Y12:AA12"/>
    <mergeCell ref="I13:M13"/>
    <mergeCell ref="N13:R13"/>
    <mergeCell ref="S13:W13"/>
    <mergeCell ref="X13:AA13"/>
    <mergeCell ref="AC13:AG13"/>
    <mergeCell ref="I7:M7"/>
    <mergeCell ref="I8:M8"/>
    <mergeCell ref="V8:X8"/>
    <mergeCell ref="B11:H12"/>
    <mergeCell ref="I11:M12"/>
    <mergeCell ref="N11:R12"/>
    <mergeCell ref="S11:W12"/>
    <mergeCell ref="A1:AG2"/>
    <mergeCell ref="AA3:AG4"/>
    <mergeCell ref="AA5:AG5"/>
    <mergeCell ref="B6:D6"/>
    <mergeCell ref="F6:L6"/>
    <mergeCell ref="M6:O6"/>
  </mergeCells>
  <phoneticPr fontId="9"/>
  <pageMargins left="0.59055118110236227" right="0.39370078740157483" top="0.39370078740157483" bottom="0.39370078740157483" header="0" footer="0"/>
  <pageSetup paperSize="9" scale="99" orientation="portrait" copies="9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BT113"/>
  <sheetViews>
    <sheetView view="pageBreakPreview" zoomScaleNormal="100" zoomScaleSheetLayoutView="100" workbookViewId="0">
      <selection activeCell="AA5" sqref="AA5:AG5"/>
    </sheetView>
  </sheetViews>
  <sheetFormatPr defaultColWidth="2.625" defaultRowHeight="15.6" customHeight="1" x14ac:dyDescent="0.15"/>
  <cols>
    <col min="1" max="1" width="2.625" style="69"/>
    <col min="2" max="29" width="2.625" style="4"/>
    <col min="30" max="30" width="2.625" style="4" customWidth="1"/>
    <col min="31" max="33" width="2.625" style="4"/>
    <col min="34" max="35" width="2.625" style="7"/>
    <col min="36" max="36" width="8.5" style="7" bestFit="1" customWidth="1"/>
    <col min="37" max="37" width="3.5" style="7" bestFit="1" customWidth="1"/>
    <col min="38" max="42" width="2.625" style="7"/>
    <col min="43" max="43" width="3.5" style="7" bestFit="1" customWidth="1"/>
    <col min="44" max="50" width="2.625" style="4"/>
    <col min="51" max="52" width="2.625" style="79"/>
    <col min="53" max="16384" width="2.625" style="4"/>
  </cols>
  <sheetData>
    <row r="1" spans="1:52" ht="15.6" customHeight="1" x14ac:dyDescent="0.15">
      <c r="A1" s="562" t="s">
        <v>6</v>
      </c>
      <c r="B1" s="562"/>
      <c r="C1" s="562"/>
      <c r="D1" s="562"/>
      <c r="E1" s="562"/>
      <c r="F1" s="562"/>
      <c r="G1" s="562"/>
      <c r="H1" s="562"/>
      <c r="I1" s="562"/>
      <c r="J1" s="562"/>
      <c r="K1" s="562"/>
      <c r="L1" s="562"/>
      <c r="M1" s="562"/>
      <c r="N1" s="562"/>
      <c r="O1" s="562"/>
      <c r="P1" s="562"/>
      <c r="Q1" s="562"/>
      <c r="R1" s="562"/>
      <c r="S1" s="562"/>
      <c r="T1" s="562"/>
      <c r="U1" s="562"/>
      <c r="V1" s="562"/>
      <c r="W1" s="562"/>
      <c r="X1" s="562"/>
      <c r="Y1" s="562"/>
      <c r="Z1" s="562"/>
      <c r="AA1" s="562"/>
      <c r="AB1" s="562"/>
      <c r="AC1" s="562"/>
      <c r="AD1" s="562"/>
      <c r="AE1" s="562"/>
      <c r="AF1" s="562"/>
      <c r="AG1" s="562"/>
      <c r="AH1" s="20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</row>
    <row r="2" spans="1:52" ht="15.6" customHeight="1" x14ac:dyDescent="0.15">
      <c r="A2" s="562"/>
      <c r="B2" s="562"/>
      <c r="C2" s="562"/>
      <c r="D2" s="562"/>
      <c r="E2" s="562"/>
      <c r="F2" s="562"/>
      <c r="G2" s="562"/>
      <c r="H2" s="562"/>
      <c r="I2" s="562"/>
      <c r="J2" s="562"/>
      <c r="K2" s="562"/>
      <c r="L2" s="562"/>
      <c r="M2" s="562"/>
      <c r="N2" s="562"/>
      <c r="O2" s="562"/>
      <c r="P2" s="562"/>
      <c r="Q2" s="562"/>
      <c r="R2" s="562"/>
      <c r="S2" s="562"/>
      <c r="T2" s="562"/>
      <c r="U2" s="562"/>
      <c r="V2" s="562"/>
      <c r="W2" s="562"/>
      <c r="X2" s="562"/>
      <c r="Y2" s="562"/>
      <c r="Z2" s="562"/>
      <c r="AA2" s="562"/>
      <c r="AB2" s="562"/>
      <c r="AC2" s="562"/>
      <c r="AD2" s="562"/>
      <c r="AE2" s="562"/>
      <c r="AF2" s="562"/>
      <c r="AG2" s="562"/>
      <c r="AH2" s="20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</row>
    <row r="3" spans="1:52" s="3" customFormat="1" ht="15.6" customHeight="1" x14ac:dyDescent="0.15">
      <c r="A3" s="49"/>
      <c r="B3" s="41"/>
      <c r="C3" s="42"/>
      <c r="D3" s="42"/>
      <c r="E3" s="42"/>
      <c r="F3" s="42"/>
      <c r="G3" s="42"/>
      <c r="H3" s="42"/>
      <c r="I3" s="42"/>
      <c r="J3" s="42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33"/>
      <c r="W3" s="33"/>
      <c r="X3" s="33"/>
      <c r="Y3" s="33"/>
      <c r="Z3" s="33"/>
      <c r="AA3" s="563" t="s">
        <v>107</v>
      </c>
      <c r="AB3" s="563"/>
      <c r="AC3" s="563"/>
      <c r="AD3" s="563"/>
      <c r="AE3" s="563"/>
      <c r="AF3" s="563"/>
      <c r="AG3" s="563"/>
      <c r="AH3" s="21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Y3" s="79"/>
      <c r="AZ3" s="79"/>
    </row>
    <row r="4" spans="1:52" s="3" customFormat="1" ht="15.6" customHeight="1" x14ac:dyDescent="0.15">
      <c r="A4" s="49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33"/>
      <c r="W4" s="33"/>
      <c r="X4" s="33"/>
      <c r="Y4" s="33"/>
      <c r="Z4" s="33"/>
      <c r="AA4" s="563"/>
      <c r="AB4" s="563"/>
      <c r="AC4" s="563"/>
      <c r="AD4" s="563"/>
      <c r="AE4" s="563"/>
      <c r="AF4" s="563"/>
      <c r="AG4" s="563"/>
      <c r="AH4" s="21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Y4" s="79"/>
      <c r="AZ4" s="79"/>
    </row>
    <row r="5" spans="1:52" s="3" customFormat="1" ht="15.6" customHeight="1" x14ac:dyDescent="0.15">
      <c r="A5" s="49" t="s">
        <v>66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21"/>
      <c r="W5" s="21"/>
      <c r="X5" s="21"/>
      <c r="Y5" s="21"/>
      <c r="Z5" s="21"/>
      <c r="AA5" s="891" t="s">
        <v>238</v>
      </c>
      <c r="AB5" s="564"/>
      <c r="AC5" s="564"/>
      <c r="AD5" s="564"/>
      <c r="AE5" s="564"/>
      <c r="AF5" s="564"/>
      <c r="AG5" s="564"/>
      <c r="AH5" s="21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Y5" s="79"/>
      <c r="AZ5" s="79"/>
    </row>
    <row r="6" spans="1:52" s="3" customFormat="1" ht="15.6" customHeight="1" x14ac:dyDescent="0.15">
      <c r="A6" s="49" t="s">
        <v>7</v>
      </c>
      <c r="B6" s="828" t="s">
        <v>108</v>
      </c>
      <c r="C6" s="828"/>
      <c r="D6" s="828"/>
      <c r="E6" s="35" t="s">
        <v>109</v>
      </c>
      <c r="F6" s="566">
        <v>44713</v>
      </c>
      <c r="G6" s="566"/>
      <c r="H6" s="566"/>
      <c r="I6" s="566"/>
      <c r="J6" s="566"/>
      <c r="K6" s="566"/>
      <c r="L6" s="566"/>
      <c r="M6" s="826" t="s">
        <v>111</v>
      </c>
      <c r="N6" s="826"/>
      <c r="O6" s="826"/>
      <c r="P6" s="16"/>
      <c r="Q6" s="16"/>
      <c r="R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Y6" s="79"/>
      <c r="AZ6" s="79"/>
    </row>
    <row r="7" spans="1:52" s="3" customFormat="1" ht="15.6" customHeight="1" x14ac:dyDescent="0.15">
      <c r="A7" s="49"/>
      <c r="B7" s="16"/>
      <c r="C7" s="16" t="s">
        <v>65</v>
      </c>
      <c r="D7" s="15"/>
      <c r="E7" s="16"/>
      <c r="F7" s="49"/>
      <c r="G7" s="49"/>
      <c r="H7" s="49"/>
      <c r="I7" s="824">
        <v>223991</v>
      </c>
      <c r="J7" s="824"/>
      <c r="K7" s="824"/>
      <c r="L7" s="824"/>
      <c r="M7" s="824"/>
      <c r="N7" s="49" t="s">
        <v>8</v>
      </c>
      <c r="O7" s="49"/>
      <c r="P7" s="181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Y7" s="79"/>
      <c r="AZ7" s="79"/>
    </row>
    <row r="8" spans="1:52" s="3" customFormat="1" ht="15.6" customHeight="1" x14ac:dyDescent="0.15">
      <c r="A8" s="49"/>
      <c r="B8" s="16"/>
      <c r="C8" s="16" t="s">
        <v>9</v>
      </c>
      <c r="D8" s="16"/>
      <c r="E8" s="16"/>
      <c r="F8" s="49"/>
      <c r="G8" s="49"/>
      <c r="H8" s="49"/>
      <c r="I8" s="825">
        <v>102941</v>
      </c>
      <c r="J8" s="824"/>
      <c r="K8" s="824"/>
      <c r="L8" s="824"/>
      <c r="M8" s="824"/>
      <c r="N8" s="49" t="s">
        <v>10</v>
      </c>
      <c r="O8" s="49"/>
      <c r="P8" s="16" t="s">
        <v>11</v>
      </c>
      <c r="Q8" s="16"/>
      <c r="R8" s="16"/>
      <c r="S8" s="16"/>
      <c r="T8" s="16"/>
      <c r="U8" s="16"/>
      <c r="V8" s="548">
        <f>I7/I8</f>
        <v>2.1759163015708025</v>
      </c>
      <c r="W8" s="548"/>
      <c r="X8" s="548"/>
      <c r="Y8" s="16" t="s">
        <v>12</v>
      </c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Y8" s="79"/>
      <c r="AZ8" s="79"/>
    </row>
    <row r="9" spans="1:52" s="3" customFormat="1" ht="15.6" customHeight="1" x14ac:dyDescent="0.15">
      <c r="A9" s="49"/>
      <c r="B9" s="16"/>
      <c r="C9" s="16"/>
      <c r="D9" s="16"/>
      <c r="E9" s="16"/>
      <c r="F9" s="16"/>
      <c r="G9" s="16"/>
      <c r="H9" s="16"/>
      <c r="I9" s="187"/>
      <c r="J9" s="186"/>
      <c r="K9" s="186"/>
      <c r="L9" s="186"/>
      <c r="M9" s="186"/>
      <c r="N9" s="16"/>
      <c r="O9" s="16"/>
      <c r="P9" s="16"/>
      <c r="Q9" s="16"/>
      <c r="R9" s="16"/>
      <c r="S9" s="16"/>
      <c r="T9" s="16"/>
      <c r="U9" s="16"/>
      <c r="V9" s="156"/>
      <c r="W9" s="156"/>
      <c r="X9" s="15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Y9" s="79"/>
      <c r="AZ9" s="79"/>
    </row>
    <row r="10" spans="1:52" s="3" customFormat="1" ht="15.6" customHeight="1" x14ac:dyDescent="0.15">
      <c r="A10" s="49" t="s">
        <v>5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Y10" s="79"/>
      <c r="AZ10" s="79"/>
    </row>
    <row r="11" spans="1:52" s="3" customFormat="1" ht="15.6" customHeight="1" x14ac:dyDescent="0.15">
      <c r="A11" s="49"/>
      <c r="B11" s="549" t="s">
        <v>67</v>
      </c>
      <c r="C11" s="550"/>
      <c r="D11" s="550"/>
      <c r="E11" s="550"/>
      <c r="F11" s="550"/>
      <c r="G11" s="550"/>
      <c r="H11" s="551"/>
      <c r="I11" s="555" t="s">
        <v>130</v>
      </c>
      <c r="J11" s="556"/>
      <c r="K11" s="556"/>
      <c r="L11" s="556"/>
      <c r="M11" s="557"/>
      <c r="N11" s="555" t="s">
        <v>131</v>
      </c>
      <c r="O11" s="556"/>
      <c r="P11" s="556"/>
      <c r="Q11" s="556"/>
      <c r="R11" s="557"/>
      <c r="S11" s="561" t="s">
        <v>13</v>
      </c>
      <c r="T11" s="556"/>
      <c r="U11" s="556"/>
      <c r="V11" s="556"/>
      <c r="W11" s="557"/>
      <c r="X11" s="29"/>
      <c r="Y11" s="581" t="s">
        <v>68</v>
      </c>
      <c r="Z11" s="581"/>
      <c r="AA11" s="581"/>
      <c r="AB11" s="30"/>
      <c r="AC11" s="561" t="s">
        <v>81</v>
      </c>
      <c r="AD11" s="556"/>
      <c r="AE11" s="556"/>
      <c r="AF11" s="556"/>
      <c r="AG11" s="557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Y11" s="79"/>
      <c r="AZ11" s="79"/>
    </row>
    <row r="12" spans="1:52" s="3" customFormat="1" ht="15.6" customHeight="1" x14ac:dyDescent="0.15">
      <c r="A12" s="49"/>
      <c r="B12" s="552"/>
      <c r="C12" s="553"/>
      <c r="D12" s="553"/>
      <c r="E12" s="553"/>
      <c r="F12" s="553"/>
      <c r="G12" s="553"/>
      <c r="H12" s="554"/>
      <c r="I12" s="558"/>
      <c r="J12" s="559"/>
      <c r="K12" s="559"/>
      <c r="L12" s="559"/>
      <c r="M12" s="560"/>
      <c r="N12" s="558"/>
      <c r="O12" s="559"/>
      <c r="P12" s="559"/>
      <c r="Q12" s="559"/>
      <c r="R12" s="560"/>
      <c r="S12" s="558"/>
      <c r="T12" s="559"/>
      <c r="U12" s="559"/>
      <c r="V12" s="559"/>
      <c r="W12" s="560"/>
      <c r="X12" s="31"/>
      <c r="Y12" s="581" t="s">
        <v>69</v>
      </c>
      <c r="Z12" s="581"/>
      <c r="AA12" s="581"/>
      <c r="AB12" s="32"/>
      <c r="AC12" s="558"/>
      <c r="AD12" s="559"/>
      <c r="AE12" s="559"/>
      <c r="AF12" s="559"/>
      <c r="AG12" s="560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Y12" s="79"/>
      <c r="AZ12" s="79"/>
    </row>
    <row r="13" spans="1:52" s="3" customFormat="1" ht="15.6" customHeight="1" x14ac:dyDescent="0.15">
      <c r="A13" s="49"/>
      <c r="B13" s="170" t="s">
        <v>126</v>
      </c>
      <c r="C13" s="171"/>
      <c r="D13" s="171"/>
      <c r="E13" s="171"/>
      <c r="F13" s="171"/>
      <c r="G13" s="171"/>
      <c r="H13" s="172"/>
      <c r="I13" s="570">
        <v>2329</v>
      </c>
      <c r="J13" s="571"/>
      <c r="K13" s="571"/>
      <c r="L13" s="571"/>
      <c r="M13" s="572"/>
      <c r="N13" s="570">
        <v>3076</v>
      </c>
      <c r="O13" s="571"/>
      <c r="P13" s="571"/>
      <c r="Q13" s="571"/>
      <c r="R13" s="572"/>
      <c r="S13" s="570">
        <v>28</v>
      </c>
      <c r="T13" s="571"/>
      <c r="U13" s="571"/>
      <c r="V13" s="571"/>
      <c r="W13" s="572"/>
      <c r="X13" s="582">
        <f t="shared" ref="X13:X16" si="0">I13/S13</f>
        <v>83.178571428571431</v>
      </c>
      <c r="Y13" s="583"/>
      <c r="Z13" s="583"/>
      <c r="AA13" s="583"/>
      <c r="AB13" s="34"/>
      <c r="AC13" s="584">
        <v>13.65933373002833</v>
      </c>
      <c r="AD13" s="585"/>
      <c r="AE13" s="585"/>
      <c r="AF13" s="585"/>
      <c r="AG13" s="586"/>
      <c r="AH13" s="568"/>
      <c r="AI13" s="569"/>
      <c r="AJ13" s="569"/>
      <c r="AK13" s="569"/>
      <c r="AL13" s="16"/>
      <c r="AM13" s="18"/>
      <c r="AN13" s="16"/>
      <c r="AO13" s="16"/>
      <c r="AP13" s="16"/>
      <c r="AQ13" s="16"/>
      <c r="AR13" s="16"/>
      <c r="AS13" s="16"/>
      <c r="AT13" s="16"/>
      <c r="AU13" s="16"/>
      <c r="AY13" s="79"/>
      <c r="AZ13" s="79"/>
    </row>
    <row r="14" spans="1:52" s="3" customFormat="1" ht="15.6" customHeight="1" x14ac:dyDescent="0.15">
      <c r="A14" s="49"/>
      <c r="B14" s="170" t="s">
        <v>129</v>
      </c>
      <c r="C14" s="171"/>
      <c r="D14" s="171"/>
      <c r="E14" s="171"/>
      <c r="F14" s="171"/>
      <c r="G14" s="171"/>
      <c r="H14" s="172"/>
      <c r="I14" s="570">
        <v>2409</v>
      </c>
      <c r="J14" s="571"/>
      <c r="K14" s="571"/>
      <c r="L14" s="571"/>
      <c r="M14" s="572"/>
      <c r="N14" s="570">
        <v>3167</v>
      </c>
      <c r="O14" s="571"/>
      <c r="P14" s="571"/>
      <c r="Q14" s="571"/>
      <c r="R14" s="572"/>
      <c r="S14" s="573">
        <v>28</v>
      </c>
      <c r="T14" s="574"/>
      <c r="U14" s="574"/>
      <c r="V14" s="574"/>
      <c r="W14" s="575"/>
      <c r="X14" s="576">
        <f>I14/S14</f>
        <v>86.035714285714292</v>
      </c>
      <c r="Y14" s="577"/>
      <c r="Z14" s="577"/>
      <c r="AA14" s="577"/>
      <c r="AB14" s="23"/>
      <c r="AC14" s="578">
        <v>14.09717121808996</v>
      </c>
      <c r="AD14" s="579"/>
      <c r="AE14" s="579"/>
      <c r="AF14" s="579"/>
      <c r="AG14" s="580"/>
      <c r="AH14" s="568"/>
      <c r="AI14" s="569"/>
      <c r="AJ14" s="569"/>
      <c r="AK14" s="569"/>
      <c r="AL14" s="16"/>
      <c r="AM14" s="18"/>
      <c r="AN14" s="16"/>
      <c r="AO14" s="16"/>
      <c r="AP14" s="16"/>
      <c r="AQ14" s="16"/>
      <c r="AR14" s="16"/>
      <c r="AS14" s="16"/>
      <c r="AT14" s="16"/>
      <c r="AU14" s="16"/>
      <c r="AY14" s="79"/>
      <c r="AZ14" s="79"/>
    </row>
    <row r="15" spans="1:52" s="3" customFormat="1" ht="15.6" customHeight="1" x14ac:dyDescent="0.15">
      <c r="A15" s="49"/>
      <c r="B15" s="589" t="s">
        <v>144</v>
      </c>
      <c r="C15" s="589"/>
      <c r="D15" s="589"/>
      <c r="E15" s="589"/>
      <c r="F15" s="589"/>
      <c r="G15" s="589"/>
      <c r="H15" s="589"/>
      <c r="I15" s="570">
        <v>2478</v>
      </c>
      <c r="J15" s="571"/>
      <c r="K15" s="571"/>
      <c r="L15" s="571"/>
      <c r="M15" s="572"/>
      <c r="N15" s="570">
        <v>3222</v>
      </c>
      <c r="O15" s="571"/>
      <c r="P15" s="571"/>
      <c r="Q15" s="571"/>
      <c r="R15" s="572"/>
      <c r="S15" s="570">
        <v>29</v>
      </c>
      <c r="T15" s="571"/>
      <c r="U15" s="571"/>
      <c r="V15" s="571"/>
      <c r="W15" s="572"/>
      <c r="X15" s="576">
        <f t="shared" si="0"/>
        <v>85.448275862068968</v>
      </c>
      <c r="Y15" s="577"/>
      <c r="Z15" s="577"/>
      <c r="AA15" s="577"/>
      <c r="AB15" s="23"/>
      <c r="AC15" s="578">
        <v>14.375008365344719</v>
      </c>
      <c r="AD15" s="579"/>
      <c r="AE15" s="579"/>
      <c r="AF15" s="579"/>
      <c r="AG15" s="580"/>
      <c r="AH15" s="587"/>
      <c r="AI15" s="588"/>
      <c r="AJ15" s="588"/>
      <c r="AK15" s="588"/>
      <c r="AL15" s="14"/>
      <c r="AM15" s="18"/>
      <c r="AN15" s="14"/>
      <c r="AO15" s="16"/>
      <c r="AP15" s="16"/>
      <c r="AQ15" s="16"/>
      <c r="AR15" s="16"/>
      <c r="AS15" s="16"/>
      <c r="AT15" s="16"/>
      <c r="AU15" s="16"/>
      <c r="AY15" s="79"/>
      <c r="AZ15" s="79"/>
    </row>
    <row r="16" spans="1:52" s="3" customFormat="1" ht="15.6" customHeight="1" x14ac:dyDescent="0.15">
      <c r="A16" s="49"/>
      <c r="B16" s="589" t="s">
        <v>148</v>
      </c>
      <c r="C16" s="589"/>
      <c r="D16" s="589"/>
      <c r="E16" s="589"/>
      <c r="F16" s="589"/>
      <c r="G16" s="589"/>
      <c r="H16" s="589"/>
      <c r="I16" s="570">
        <v>2523</v>
      </c>
      <c r="J16" s="571"/>
      <c r="K16" s="571"/>
      <c r="L16" s="571"/>
      <c r="M16" s="572"/>
      <c r="N16" s="570">
        <v>3258</v>
      </c>
      <c r="O16" s="571"/>
      <c r="P16" s="571"/>
      <c r="Q16" s="571"/>
      <c r="R16" s="572"/>
      <c r="S16" s="570">
        <v>30</v>
      </c>
      <c r="T16" s="571"/>
      <c r="U16" s="571"/>
      <c r="V16" s="571"/>
      <c r="W16" s="572"/>
      <c r="X16" s="576">
        <f t="shared" si="0"/>
        <v>84.1</v>
      </c>
      <c r="Y16" s="577"/>
      <c r="Z16" s="577"/>
      <c r="AA16" s="577"/>
      <c r="AB16" s="23"/>
      <c r="AC16" s="578">
        <v>14.560112977181111</v>
      </c>
      <c r="AD16" s="579"/>
      <c r="AE16" s="579"/>
      <c r="AF16" s="579"/>
      <c r="AG16" s="580"/>
      <c r="AH16" s="587"/>
      <c r="AI16" s="588"/>
      <c r="AJ16" s="588"/>
      <c r="AK16" s="588"/>
      <c r="AL16" s="14"/>
      <c r="AM16" s="18"/>
      <c r="AN16" s="14"/>
      <c r="AO16" s="14"/>
      <c r="AP16" s="14"/>
      <c r="AQ16" s="14"/>
      <c r="AR16" s="14"/>
      <c r="AS16" s="14"/>
      <c r="AT16" s="14"/>
      <c r="AU16" s="14"/>
      <c r="AY16" s="79"/>
      <c r="AZ16" s="79"/>
    </row>
    <row r="17" spans="1:52" s="3" customFormat="1" ht="15.6" customHeight="1" x14ac:dyDescent="0.15">
      <c r="A17" s="49"/>
      <c r="B17" s="604" t="s">
        <v>169</v>
      </c>
      <c r="C17" s="604"/>
      <c r="D17" s="604"/>
      <c r="E17" s="604"/>
      <c r="F17" s="604"/>
      <c r="G17" s="604"/>
      <c r="H17" s="604"/>
      <c r="I17" s="605">
        <v>2564</v>
      </c>
      <c r="J17" s="606"/>
      <c r="K17" s="606"/>
      <c r="L17" s="606"/>
      <c r="M17" s="607"/>
      <c r="N17" s="605">
        <v>3302</v>
      </c>
      <c r="O17" s="606"/>
      <c r="P17" s="606"/>
      <c r="Q17" s="606"/>
      <c r="R17" s="607"/>
      <c r="S17" s="570">
        <v>31</v>
      </c>
      <c r="T17" s="571"/>
      <c r="U17" s="571"/>
      <c r="V17" s="571"/>
      <c r="W17" s="572"/>
      <c r="X17" s="576">
        <f>I17/S17</f>
        <v>82.709677419354833</v>
      </c>
      <c r="Y17" s="577"/>
      <c r="Z17" s="577"/>
      <c r="AA17" s="577"/>
      <c r="AB17" s="23"/>
      <c r="AC17" s="578">
        <v>14.773652608878509</v>
      </c>
      <c r="AD17" s="579"/>
      <c r="AE17" s="579"/>
      <c r="AF17" s="579"/>
      <c r="AG17" s="580"/>
      <c r="AH17" s="587"/>
      <c r="AI17" s="588"/>
      <c r="AJ17" s="588"/>
      <c r="AK17" s="588"/>
      <c r="AL17" s="14"/>
      <c r="AM17" s="14"/>
      <c r="AN17" s="14"/>
      <c r="AO17" s="14"/>
      <c r="AP17" s="14"/>
      <c r="AQ17" s="14"/>
      <c r="AR17" s="14"/>
      <c r="AS17" s="14"/>
      <c r="AT17" s="14"/>
      <c r="AU17" s="39"/>
      <c r="AV17" s="38"/>
      <c r="AX17" s="596"/>
      <c r="AY17" s="596"/>
      <c r="AZ17" s="79"/>
    </row>
    <row r="18" spans="1:52" s="3" customFormat="1" ht="15.6" customHeight="1" x14ac:dyDescent="0.15">
      <c r="A18" s="49"/>
      <c r="B18" s="597" t="s">
        <v>180</v>
      </c>
      <c r="C18" s="597"/>
      <c r="D18" s="597"/>
      <c r="E18" s="597"/>
      <c r="F18" s="597"/>
      <c r="G18" s="597"/>
      <c r="H18" s="597"/>
      <c r="I18" s="598">
        <f>2566+4</f>
        <v>2570</v>
      </c>
      <c r="J18" s="599"/>
      <c r="K18" s="599"/>
      <c r="L18" s="599"/>
      <c r="M18" s="600"/>
      <c r="N18" s="598">
        <f>3296+4</f>
        <v>3300</v>
      </c>
      <c r="O18" s="599"/>
      <c r="P18" s="599"/>
      <c r="Q18" s="599"/>
      <c r="R18" s="600"/>
      <c r="S18" s="570">
        <v>31</v>
      </c>
      <c r="T18" s="571"/>
      <c r="U18" s="571"/>
      <c r="V18" s="571"/>
      <c r="W18" s="572"/>
      <c r="X18" s="576">
        <f>I18/S18</f>
        <v>82.903225806451616</v>
      </c>
      <c r="Y18" s="577"/>
      <c r="Z18" s="577"/>
      <c r="AA18" s="577"/>
      <c r="AB18" s="23"/>
      <c r="AC18" s="838">
        <v>14.732734797380251</v>
      </c>
      <c r="AD18" s="839"/>
      <c r="AE18" s="839"/>
      <c r="AF18" s="839"/>
      <c r="AG18" s="840"/>
      <c r="AH18" s="587"/>
      <c r="AI18" s="822"/>
      <c r="AJ18" s="822"/>
      <c r="AK18" s="822"/>
      <c r="AL18" s="14"/>
      <c r="AM18" s="14"/>
      <c r="AN18" s="14"/>
      <c r="AO18" s="14"/>
      <c r="AP18" s="14"/>
      <c r="AQ18" s="14"/>
      <c r="AR18" s="14"/>
      <c r="AS18" s="14"/>
      <c r="AT18" s="14"/>
      <c r="AU18" s="39"/>
      <c r="AV18" s="38"/>
      <c r="AX18" s="158"/>
      <c r="AY18" s="158"/>
      <c r="AZ18" s="79"/>
    </row>
    <row r="19" spans="1:52" s="1" customFormat="1" ht="15.6" customHeight="1" x14ac:dyDescent="0.15">
      <c r="A19" s="49"/>
      <c r="B19" s="181"/>
      <c r="C19" s="16"/>
      <c r="D19" s="590" t="s">
        <v>79</v>
      </c>
      <c r="E19" s="590"/>
      <c r="F19" s="590"/>
      <c r="G19" s="590"/>
      <c r="H19" s="590"/>
      <c r="I19" s="591">
        <v>89</v>
      </c>
      <c r="J19" s="592"/>
      <c r="K19" s="592"/>
      <c r="L19" s="592"/>
      <c r="M19" s="593"/>
      <c r="N19" s="594">
        <v>176</v>
      </c>
      <c r="O19" s="594"/>
      <c r="P19" s="594"/>
      <c r="Q19" s="594"/>
      <c r="R19" s="594"/>
      <c r="S19" s="181"/>
      <c r="T19" s="18"/>
      <c r="U19" s="16"/>
      <c r="V19" s="16"/>
      <c r="W19" s="16"/>
      <c r="X19" s="16"/>
      <c r="Y19" s="16"/>
      <c r="Z19" s="16"/>
      <c r="AA19" s="16"/>
      <c r="AB19" s="157"/>
      <c r="AC19" s="157"/>
      <c r="AD19" s="157"/>
      <c r="AE19" s="157"/>
      <c r="AF19" s="16"/>
      <c r="AG19" s="16"/>
      <c r="AH19" s="16"/>
      <c r="AI19" s="71"/>
      <c r="AJ19" s="16"/>
      <c r="AK19" s="16"/>
      <c r="AL19" s="16"/>
      <c r="AM19" s="16"/>
      <c r="AN19" s="16"/>
      <c r="AO19" s="16"/>
      <c r="AP19" s="13"/>
      <c r="AQ19" s="13"/>
      <c r="AY19" s="167"/>
      <c r="AZ19" s="167"/>
    </row>
    <row r="20" spans="1:52" s="1" customFormat="1" ht="15.6" customHeight="1" x14ac:dyDescent="0.15">
      <c r="A20" s="49"/>
      <c r="B20" s="181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545"/>
      <c r="AI20" s="545"/>
      <c r="AJ20" s="545"/>
      <c r="AK20" s="545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Y20" s="167"/>
      <c r="AZ20" s="167"/>
    </row>
    <row r="21" spans="1:52" s="14" customFormat="1" ht="15.6" customHeight="1" x14ac:dyDescent="0.15">
      <c r="A21" s="50" t="s">
        <v>124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24"/>
      <c r="X21" s="24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Y21" s="80"/>
      <c r="AZ21" s="80"/>
    </row>
    <row r="22" spans="1:52" s="14" customFormat="1" ht="15.6" customHeight="1" x14ac:dyDescent="0.15">
      <c r="A22" s="155" t="s">
        <v>171</v>
      </c>
      <c r="B22" s="25"/>
      <c r="C22" s="25"/>
      <c r="D22" s="178"/>
      <c r="E22" s="178"/>
      <c r="F22" s="178"/>
      <c r="G22" s="178"/>
      <c r="H22" s="22"/>
      <c r="I22" s="178"/>
      <c r="J22" s="178"/>
      <c r="K22" s="178"/>
      <c r="L22" s="1" t="s">
        <v>73</v>
      </c>
      <c r="M22" s="22"/>
      <c r="N22" s="178"/>
      <c r="O22" s="178"/>
      <c r="P22" s="178"/>
      <c r="Q22" s="178"/>
      <c r="R22" s="22"/>
      <c r="S22" s="185"/>
      <c r="T22" s="178"/>
      <c r="U22" s="178"/>
      <c r="V22" s="184"/>
      <c r="W22" s="184"/>
      <c r="X22" s="26"/>
      <c r="Y22" s="185"/>
      <c r="Z22" s="185"/>
      <c r="AA22" s="185"/>
      <c r="AB22" s="184"/>
      <c r="AC22" s="178"/>
      <c r="AD22" s="178"/>
      <c r="AE22" s="178"/>
      <c r="AF22" s="178"/>
      <c r="AG22" s="178"/>
      <c r="AH22" s="24"/>
      <c r="AI22" s="24"/>
      <c r="AJ22" s="24"/>
      <c r="AK22" s="24"/>
      <c r="AL22" s="24"/>
      <c r="AM22" s="24"/>
      <c r="AY22" s="80"/>
      <c r="AZ22" s="80"/>
    </row>
    <row r="23" spans="1:52" s="14" customFormat="1" ht="15.6" customHeight="1" x14ac:dyDescent="0.15">
      <c r="A23" s="52"/>
      <c r="B23" s="595" t="s">
        <v>14</v>
      </c>
      <c r="C23" s="595"/>
      <c r="D23" s="595" t="s">
        <v>15</v>
      </c>
      <c r="E23" s="595"/>
      <c r="F23" s="595"/>
      <c r="G23" s="595"/>
      <c r="H23" s="595"/>
      <c r="I23" s="595" t="s">
        <v>16</v>
      </c>
      <c r="J23" s="595"/>
      <c r="K23" s="595"/>
      <c r="L23" s="595"/>
      <c r="M23" s="595"/>
      <c r="N23" s="595" t="s">
        <v>17</v>
      </c>
      <c r="O23" s="595"/>
      <c r="P23" s="595"/>
      <c r="Q23" s="595"/>
      <c r="R23" s="595"/>
      <c r="S23" s="608" t="s">
        <v>18</v>
      </c>
      <c r="T23" s="609"/>
      <c r="U23" s="609"/>
      <c r="V23" s="609"/>
      <c r="W23" s="609"/>
      <c r="X23" s="610"/>
      <c r="Y23" s="608" t="s">
        <v>19</v>
      </c>
      <c r="Z23" s="609"/>
      <c r="AA23" s="609"/>
      <c r="AB23" s="609"/>
      <c r="AC23" s="609"/>
      <c r="AD23" s="610"/>
      <c r="AE23" s="608" t="s">
        <v>72</v>
      </c>
      <c r="AF23" s="609"/>
      <c r="AG23" s="610"/>
      <c r="AH23" s="13"/>
      <c r="AI23" s="13"/>
      <c r="AJ23" s="13"/>
      <c r="AK23" s="13"/>
      <c r="AL23" s="13"/>
      <c r="AM23" s="13"/>
      <c r="AY23" s="80"/>
      <c r="AZ23" s="80"/>
    </row>
    <row r="24" spans="1:52" s="14" customFormat="1" ht="15.6" customHeight="1" x14ac:dyDescent="0.15">
      <c r="A24" s="49"/>
      <c r="B24" s="611" t="s">
        <v>9</v>
      </c>
      <c r="C24" s="611"/>
      <c r="D24" s="612">
        <v>365</v>
      </c>
      <c r="E24" s="612"/>
      <c r="F24" s="612"/>
      <c r="G24" s="612"/>
      <c r="H24" s="612"/>
      <c r="I24" s="612">
        <f>SUM(L25:M28)</f>
        <v>29</v>
      </c>
      <c r="J24" s="612"/>
      <c r="K24" s="612"/>
      <c r="L24" s="612"/>
      <c r="M24" s="612"/>
      <c r="N24" s="612">
        <f>SUM(Q25:R29)</f>
        <v>20</v>
      </c>
      <c r="O24" s="612"/>
      <c r="P24" s="612"/>
      <c r="Q24" s="612"/>
      <c r="R24" s="612"/>
      <c r="S24" s="613">
        <v>327</v>
      </c>
      <c r="T24" s="614"/>
      <c r="U24" s="614"/>
      <c r="V24" s="614"/>
      <c r="W24" s="614"/>
      <c r="X24" s="615"/>
      <c r="Y24" s="613">
        <v>286</v>
      </c>
      <c r="Z24" s="614"/>
      <c r="AA24" s="614"/>
      <c r="AB24" s="614"/>
      <c r="AC24" s="614"/>
      <c r="AD24" s="615"/>
      <c r="AE24" s="613">
        <f>S24-Y24</f>
        <v>41</v>
      </c>
      <c r="AF24" s="614"/>
      <c r="AG24" s="615"/>
      <c r="AH24" s="16"/>
      <c r="AI24" s="13"/>
      <c r="AJ24" s="13"/>
      <c r="AK24" s="16"/>
      <c r="AL24" s="16"/>
      <c r="AM24" s="16"/>
      <c r="AY24" s="80"/>
      <c r="AZ24" s="80"/>
    </row>
    <row r="25" spans="1:52" s="14" customFormat="1" ht="15.6" customHeight="1" x14ac:dyDescent="0.15">
      <c r="A25" s="49"/>
      <c r="B25" s="632" t="s">
        <v>21</v>
      </c>
      <c r="C25" s="633"/>
      <c r="D25" s="624"/>
      <c r="E25" s="625"/>
      <c r="F25" s="625"/>
      <c r="G25" s="626"/>
      <c r="H25" s="627"/>
      <c r="I25" s="57" t="s">
        <v>22</v>
      </c>
      <c r="J25" s="58"/>
      <c r="K25" s="58"/>
      <c r="L25" s="622">
        <v>8</v>
      </c>
      <c r="M25" s="623"/>
      <c r="N25" s="57" t="s">
        <v>62</v>
      </c>
      <c r="O25" s="58"/>
      <c r="P25" s="58"/>
      <c r="Q25" s="622">
        <v>13</v>
      </c>
      <c r="R25" s="623"/>
      <c r="S25" s="163" t="s">
        <v>23</v>
      </c>
      <c r="T25" s="164"/>
      <c r="U25" s="164"/>
      <c r="V25" s="164"/>
      <c r="W25" s="622">
        <v>54</v>
      </c>
      <c r="X25" s="623"/>
      <c r="Y25" s="57" t="s">
        <v>97</v>
      </c>
      <c r="Z25" s="164"/>
      <c r="AA25" s="164"/>
      <c r="AB25" s="164"/>
      <c r="AC25" s="622">
        <v>0</v>
      </c>
      <c r="AD25" s="623"/>
      <c r="AE25" s="175"/>
      <c r="AF25" s="176"/>
      <c r="AG25" s="5"/>
      <c r="AH25" s="16"/>
      <c r="AI25" s="13"/>
      <c r="AJ25" s="13"/>
      <c r="AK25" s="16"/>
      <c r="AL25" s="16"/>
      <c r="AM25" s="16"/>
      <c r="AY25" s="80"/>
      <c r="AZ25" s="80"/>
    </row>
    <row r="26" spans="1:52" s="14" customFormat="1" ht="15.6" customHeight="1" x14ac:dyDescent="0.15">
      <c r="A26" s="49"/>
      <c r="B26" s="634"/>
      <c r="C26" s="635"/>
      <c r="D26" s="620"/>
      <c r="E26" s="621"/>
      <c r="F26" s="621"/>
      <c r="G26" s="621"/>
      <c r="H26" s="59"/>
      <c r="I26" s="60" t="s">
        <v>0</v>
      </c>
      <c r="J26" s="61"/>
      <c r="K26" s="61"/>
      <c r="L26" s="616">
        <v>2</v>
      </c>
      <c r="M26" s="617"/>
      <c r="N26" s="60" t="s">
        <v>3</v>
      </c>
      <c r="O26" s="61"/>
      <c r="P26" s="61"/>
      <c r="Q26" s="616">
        <v>0</v>
      </c>
      <c r="R26" s="617"/>
      <c r="S26" s="161" t="s">
        <v>90</v>
      </c>
      <c r="T26" s="162"/>
      <c r="U26" s="162"/>
      <c r="V26" s="162"/>
      <c r="W26" s="616">
        <v>1</v>
      </c>
      <c r="X26" s="617"/>
      <c r="Y26" s="60" t="s">
        <v>4</v>
      </c>
      <c r="Z26" s="61"/>
      <c r="AA26" s="61"/>
      <c r="AB26" s="61"/>
      <c r="AC26" s="616">
        <v>105</v>
      </c>
      <c r="AD26" s="617"/>
      <c r="AE26" s="173"/>
      <c r="AF26" s="174"/>
      <c r="AG26" s="6"/>
      <c r="AH26" s="16"/>
      <c r="AI26" s="13"/>
      <c r="AJ26" s="13"/>
      <c r="AK26" s="16"/>
      <c r="AL26" s="16"/>
      <c r="AM26" s="16"/>
      <c r="AY26" s="80"/>
      <c r="AZ26" s="80"/>
    </row>
    <row r="27" spans="1:52" s="14" customFormat="1" ht="15.6" customHeight="1" x14ac:dyDescent="0.15">
      <c r="A27" s="49"/>
      <c r="B27" s="634"/>
      <c r="C27" s="635"/>
      <c r="D27" s="620"/>
      <c r="E27" s="621"/>
      <c r="F27" s="621"/>
      <c r="G27" s="621"/>
      <c r="H27" s="59"/>
      <c r="I27" s="60" t="s">
        <v>61</v>
      </c>
      <c r="J27" s="61"/>
      <c r="K27" s="61"/>
      <c r="L27" s="616">
        <v>4</v>
      </c>
      <c r="M27" s="617"/>
      <c r="N27" s="60" t="s">
        <v>0</v>
      </c>
      <c r="O27" s="61"/>
      <c r="P27" s="61"/>
      <c r="Q27" s="616">
        <v>0</v>
      </c>
      <c r="R27" s="617"/>
      <c r="S27" s="161" t="s">
        <v>91</v>
      </c>
      <c r="T27" s="162"/>
      <c r="U27" s="162"/>
      <c r="V27" s="162"/>
      <c r="W27" s="616">
        <v>9</v>
      </c>
      <c r="X27" s="617"/>
      <c r="Y27" s="60" t="s">
        <v>2</v>
      </c>
      <c r="Z27" s="62"/>
      <c r="AA27" s="62"/>
      <c r="AB27" s="62"/>
      <c r="AC27" s="616">
        <v>17</v>
      </c>
      <c r="AD27" s="617"/>
      <c r="AE27" s="173"/>
      <c r="AF27" s="174"/>
      <c r="AG27" s="6"/>
      <c r="AH27" s="16"/>
      <c r="AI27" s="13"/>
      <c r="AJ27" s="13"/>
      <c r="AK27" s="16"/>
      <c r="AL27" s="16"/>
      <c r="AM27" s="16"/>
      <c r="AQ27" s="18"/>
      <c r="AY27" s="80"/>
      <c r="AZ27" s="80"/>
    </row>
    <row r="28" spans="1:52" s="14" customFormat="1" ht="15.6" customHeight="1" x14ac:dyDescent="0.15">
      <c r="A28" s="49"/>
      <c r="B28" s="634"/>
      <c r="C28" s="635"/>
      <c r="D28" s="620"/>
      <c r="E28" s="621"/>
      <c r="F28" s="621"/>
      <c r="G28" s="621"/>
      <c r="H28" s="59"/>
      <c r="I28" s="60" t="s">
        <v>60</v>
      </c>
      <c r="J28" s="61"/>
      <c r="K28" s="61"/>
      <c r="L28" s="616">
        <v>15</v>
      </c>
      <c r="M28" s="617"/>
      <c r="N28" s="60" t="s">
        <v>4</v>
      </c>
      <c r="O28" s="61"/>
      <c r="P28" s="61"/>
      <c r="Q28" s="616">
        <v>0</v>
      </c>
      <c r="R28" s="617"/>
      <c r="S28" s="161" t="s">
        <v>92</v>
      </c>
      <c r="T28" s="162"/>
      <c r="U28" s="162"/>
      <c r="V28" s="162"/>
      <c r="W28" s="616">
        <v>54</v>
      </c>
      <c r="X28" s="617"/>
      <c r="Y28" s="60" t="s">
        <v>98</v>
      </c>
      <c r="Z28" s="61"/>
      <c r="AA28" s="61"/>
      <c r="AB28" s="61"/>
      <c r="AC28" s="616">
        <v>48</v>
      </c>
      <c r="AD28" s="617"/>
      <c r="AE28" s="173"/>
      <c r="AF28" s="174"/>
      <c r="AG28" s="6"/>
      <c r="AH28" s="16"/>
      <c r="AI28" s="13"/>
      <c r="AJ28" s="13"/>
      <c r="AK28" s="16"/>
      <c r="AL28" s="16"/>
      <c r="AM28" s="16"/>
      <c r="AY28" s="80"/>
      <c r="AZ28" s="80"/>
    </row>
    <row r="29" spans="1:52" s="14" customFormat="1" ht="15.6" customHeight="1" x14ac:dyDescent="0.15">
      <c r="A29" s="49"/>
      <c r="B29" s="634"/>
      <c r="C29" s="635"/>
      <c r="D29" s="620"/>
      <c r="E29" s="621"/>
      <c r="F29" s="621"/>
      <c r="G29" s="621"/>
      <c r="H29" s="59"/>
      <c r="I29" s="60"/>
      <c r="J29" s="61"/>
      <c r="K29" s="61"/>
      <c r="L29" s="61"/>
      <c r="M29" s="63"/>
      <c r="N29" s="60" t="s">
        <v>60</v>
      </c>
      <c r="O29" s="61"/>
      <c r="P29" s="61"/>
      <c r="Q29" s="616">
        <v>7</v>
      </c>
      <c r="R29" s="617"/>
      <c r="S29" s="161" t="s">
        <v>94</v>
      </c>
      <c r="T29" s="162"/>
      <c r="U29" s="162"/>
      <c r="V29" s="162"/>
      <c r="W29" s="616">
        <v>16</v>
      </c>
      <c r="X29" s="617"/>
      <c r="Y29" s="60" t="s">
        <v>99</v>
      </c>
      <c r="Z29" s="61"/>
      <c r="AA29" s="61"/>
      <c r="AB29" s="61"/>
      <c r="AC29" s="618">
        <v>3</v>
      </c>
      <c r="AD29" s="619"/>
      <c r="AE29" s="173"/>
      <c r="AF29" s="174"/>
      <c r="AG29" s="6"/>
      <c r="AH29" s="16"/>
      <c r="AI29" s="13"/>
      <c r="AJ29" s="13"/>
      <c r="AK29" s="16"/>
      <c r="AL29" s="16"/>
      <c r="AM29" s="16"/>
      <c r="AY29" s="80"/>
      <c r="AZ29" s="80"/>
    </row>
    <row r="30" spans="1:52" s="14" customFormat="1" ht="15.6" customHeight="1" x14ac:dyDescent="0.15">
      <c r="A30" s="49"/>
      <c r="B30" s="634"/>
      <c r="C30" s="635"/>
      <c r="D30" s="161"/>
      <c r="E30" s="162"/>
      <c r="F30" s="162"/>
      <c r="G30" s="162"/>
      <c r="H30" s="59"/>
      <c r="I30" s="60"/>
      <c r="J30" s="61"/>
      <c r="K30" s="61"/>
      <c r="L30" s="61"/>
      <c r="M30" s="63"/>
      <c r="N30" s="60"/>
      <c r="O30" s="61"/>
      <c r="P30" s="61"/>
      <c r="Q30" s="159"/>
      <c r="R30" s="160"/>
      <c r="S30" s="161" t="s">
        <v>93</v>
      </c>
      <c r="T30" s="162"/>
      <c r="U30" s="162"/>
      <c r="V30" s="162"/>
      <c r="W30" s="616">
        <v>0</v>
      </c>
      <c r="X30" s="617"/>
      <c r="Y30" s="60" t="s">
        <v>100</v>
      </c>
      <c r="Z30" s="61"/>
      <c r="AA30" s="61"/>
      <c r="AB30" s="61"/>
      <c r="AC30" s="618">
        <v>12</v>
      </c>
      <c r="AD30" s="619"/>
      <c r="AE30" s="173"/>
      <c r="AF30" s="174"/>
      <c r="AG30" s="6"/>
      <c r="AH30" s="16"/>
      <c r="AI30" s="13"/>
      <c r="AJ30" s="13"/>
      <c r="AK30" s="16"/>
      <c r="AL30" s="16"/>
      <c r="AM30" s="16"/>
      <c r="AY30" s="80"/>
      <c r="AZ30" s="80"/>
    </row>
    <row r="31" spans="1:52" s="14" customFormat="1" ht="15.6" customHeight="1" x14ac:dyDescent="0.15">
      <c r="A31" s="49"/>
      <c r="B31" s="634"/>
      <c r="C31" s="635"/>
      <c r="D31" s="161"/>
      <c r="E31" s="162"/>
      <c r="F31" s="162"/>
      <c r="G31" s="162"/>
      <c r="H31" s="59"/>
      <c r="I31" s="60"/>
      <c r="J31" s="61"/>
      <c r="K31" s="61"/>
      <c r="L31" s="61"/>
      <c r="M31" s="63"/>
      <c r="N31" s="60"/>
      <c r="O31" s="61"/>
      <c r="P31" s="61"/>
      <c r="Q31" s="159"/>
      <c r="R31" s="160"/>
      <c r="S31" s="161" t="s">
        <v>95</v>
      </c>
      <c r="T31" s="162"/>
      <c r="U31" s="162"/>
      <c r="V31" s="162"/>
      <c r="W31" s="616">
        <v>29</v>
      </c>
      <c r="X31" s="617"/>
      <c r="Y31" s="60" t="s">
        <v>101</v>
      </c>
      <c r="Z31" s="61"/>
      <c r="AA31" s="61"/>
      <c r="AB31" s="61"/>
      <c r="AC31" s="618">
        <v>4</v>
      </c>
      <c r="AD31" s="619"/>
      <c r="AE31" s="173"/>
      <c r="AF31" s="174"/>
      <c r="AG31" s="6"/>
      <c r="AH31" s="16"/>
      <c r="AI31" s="16"/>
      <c r="AJ31" s="16"/>
      <c r="AK31" s="16"/>
      <c r="AL31" s="16"/>
      <c r="AM31" s="16"/>
      <c r="AY31" s="80"/>
      <c r="AZ31" s="80"/>
    </row>
    <row r="32" spans="1:52" s="14" customFormat="1" ht="15.6" customHeight="1" x14ac:dyDescent="0.15">
      <c r="A32" s="49"/>
      <c r="B32" s="634"/>
      <c r="C32" s="635"/>
      <c r="D32" s="161"/>
      <c r="E32" s="162"/>
      <c r="F32" s="162"/>
      <c r="G32" s="162"/>
      <c r="H32" s="59"/>
      <c r="I32" s="60"/>
      <c r="J32" s="61"/>
      <c r="K32" s="61"/>
      <c r="L32" s="61"/>
      <c r="M32" s="63"/>
      <c r="N32" s="60"/>
      <c r="O32" s="61"/>
      <c r="P32" s="61"/>
      <c r="Q32" s="159"/>
      <c r="R32" s="160"/>
      <c r="S32" s="161" t="s">
        <v>96</v>
      </c>
      <c r="T32" s="162"/>
      <c r="U32" s="162"/>
      <c r="V32" s="162"/>
      <c r="W32" s="616">
        <v>1</v>
      </c>
      <c r="X32" s="617"/>
      <c r="Y32" s="60" t="s">
        <v>103</v>
      </c>
      <c r="Z32" s="61"/>
      <c r="AA32" s="61"/>
      <c r="AB32" s="61"/>
      <c r="AC32" s="618">
        <v>22</v>
      </c>
      <c r="AD32" s="619"/>
      <c r="AE32" s="173"/>
      <c r="AF32" s="174"/>
      <c r="AG32" s="6"/>
      <c r="AH32" s="16"/>
      <c r="AI32" s="16"/>
      <c r="AJ32" s="16"/>
      <c r="AK32" s="16"/>
      <c r="AL32" s="16"/>
      <c r="AM32" s="16"/>
      <c r="AY32" s="80"/>
      <c r="AZ32" s="80"/>
    </row>
    <row r="33" spans="1:72" s="14" customFormat="1" ht="15.6" customHeight="1" x14ac:dyDescent="0.15">
      <c r="A33" s="49"/>
      <c r="B33" s="634"/>
      <c r="C33" s="635"/>
      <c r="D33" s="161"/>
      <c r="E33" s="162"/>
      <c r="F33" s="162"/>
      <c r="G33" s="162"/>
      <c r="H33" s="59"/>
      <c r="I33" s="60"/>
      <c r="J33" s="61"/>
      <c r="K33" s="61"/>
      <c r="L33" s="61"/>
      <c r="M33" s="63"/>
      <c r="N33" s="60"/>
      <c r="O33" s="61"/>
      <c r="P33" s="61"/>
      <c r="Q33" s="159"/>
      <c r="R33" s="160"/>
      <c r="S33" s="161" t="s">
        <v>80</v>
      </c>
      <c r="T33" s="162"/>
      <c r="U33" s="162"/>
      <c r="V33" s="162"/>
      <c r="W33" s="616">
        <v>112</v>
      </c>
      <c r="X33" s="617"/>
      <c r="Y33" s="60" t="s">
        <v>104</v>
      </c>
      <c r="Z33" s="61"/>
      <c r="AA33" s="61"/>
      <c r="AB33" s="61"/>
      <c r="AC33" s="618">
        <v>1</v>
      </c>
      <c r="AD33" s="619"/>
      <c r="AE33" s="173"/>
      <c r="AF33" s="174"/>
      <c r="AG33" s="6"/>
      <c r="AH33" s="16"/>
      <c r="AI33" s="16"/>
      <c r="AJ33" s="16"/>
      <c r="AK33" s="16"/>
      <c r="AL33" s="16"/>
      <c r="AM33" s="16"/>
      <c r="AY33" s="80"/>
      <c r="AZ33" s="80"/>
    </row>
    <row r="34" spans="1:72" s="3" customFormat="1" ht="15.6" customHeight="1" x14ac:dyDescent="0.15">
      <c r="A34" s="49"/>
      <c r="B34" s="634"/>
      <c r="C34" s="635"/>
      <c r="D34" s="161"/>
      <c r="E34" s="162"/>
      <c r="F34" s="162"/>
      <c r="G34" s="162"/>
      <c r="H34" s="59"/>
      <c r="I34" s="60"/>
      <c r="J34" s="61"/>
      <c r="K34" s="61"/>
      <c r="L34" s="61"/>
      <c r="M34" s="63"/>
      <c r="N34" s="60"/>
      <c r="O34" s="61"/>
      <c r="P34" s="61"/>
      <c r="Q34" s="159"/>
      <c r="R34" s="160"/>
      <c r="S34" s="161" t="s">
        <v>102</v>
      </c>
      <c r="T34" s="162"/>
      <c r="U34" s="162"/>
      <c r="V34" s="162"/>
      <c r="W34" s="616">
        <v>3</v>
      </c>
      <c r="X34" s="617"/>
      <c r="Y34" s="60" t="s">
        <v>105</v>
      </c>
      <c r="Z34" s="61"/>
      <c r="AA34" s="61"/>
      <c r="AB34" s="61"/>
      <c r="AC34" s="618">
        <v>45</v>
      </c>
      <c r="AD34" s="619"/>
      <c r="AE34" s="173"/>
      <c r="AF34" s="174"/>
      <c r="AG34" s="6"/>
      <c r="AH34" s="16"/>
      <c r="AI34" s="16"/>
      <c r="AJ34" s="16"/>
      <c r="AK34" s="16"/>
      <c r="AL34" s="16"/>
      <c r="AM34" s="16"/>
      <c r="AN34" s="14"/>
      <c r="AO34" s="14"/>
      <c r="AP34" s="14"/>
      <c r="AQ34" s="14"/>
      <c r="AY34" s="79"/>
      <c r="AZ34" s="79"/>
    </row>
    <row r="35" spans="1:72" s="2" customFormat="1" ht="15.6" customHeight="1" x14ac:dyDescent="0.15">
      <c r="A35" s="49"/>
      <c r="B35" s="636"/>
      <c r="C35" s="637"/>
      <c r="D35" s="628"/>
      <c r="E35" s="629"/>
      <c r="F35" s="629"/>
      <c r="G35" s="629"/>
      <c r="H35" s="64"/>
      <c r="I35" s="65"/>
      <c r="J35" s="66"/>
      <c r="K35" s="66"/>
      <c r="L35" s="66"/>
      <c r="M35" s="67"/>
      <c r="N35" s="65"/>
      <c r="O35" s="66"/>
      <c r="P35" s="66"/>
      <c r="Q35" s="66"/>
      <c r="R35" s="67"/>
      <c r="S35" s="165" t="s">
        <v>24</v>
      </c>
      <c r="T35" s="166"/>
      <c r="U35" s="166"/>
      <c r="V35" s="166"/>
      <c r="W35" s="630">
        <v>48</v>
      </c>
      <c r="X35" s="631"/>
      <c r="Y35" s="65" t="s">
        <v>24</v>
      </c>
      <c r="Z35" s="68"/>
      <c r="AA35" s="66"/>
      <c r="AB35" s="66"/>
      <c r="AC35" s="630">
        <v>29</v>
      </c>
      <c r="AD35" s="631"/>
      <c r="AE35" s="177"/>
      <c r="AF35" s="178"/>
      <c r="AG35" s="8"/>
      <c r="AH35" s="16"/>
      <c r="AI35" s="16"/>
      <c r="AJ35" s="16"/>
      <c r="AK35" s="16"/>
      <c r="AL35" s="16"/>
      <c r="AM35" s="16"/>
      <c r="AN35" s="537"/>
      <c r="AO35" s="537"/>
      <c r="AP35" s="537"/>
      <c r="AQ35" s="537"/>
      <c r="AY35" s="81"/>
      <c r="AZ35" s="81"/>
    </row>
    <row r="36" spans="1:72" s="14" customFormat="1" ht="15.6" customHeight="1" x14ac:dyDescent="0.15">
      <c r="A36" s="155" t="s">
        <v>181</v>
      </c>
      <c r="B36" s="25"/>
      <c r="C36" s="25"/>
      <c r="D36" s="178"/>
      <c r="E36" s="178"/>
      <c r="F36" s="178"/>
      <c r="G36" s="178"/>
      <c r="H36" s="48"/>
      <c r="I36" s="178"/>
      <c r="J36" s="178"/>
      <c r="K36" s="178"/>
      <c r="L36" s="178"/>
      <c r="M36" s="48"/>
      <c r="N36" s="178"/>
      <c r="O36" s="178"/>
      <c r="P36" s="178"/>
      <c r="Q36" s="178"/>
      <c r="R36" s="22"/>
      <c r="S36" s="185"/>
      <c r="T36" s="178"/>
      <c r="U36" s="178"/>
      <c r="V36" s="178"/>
      <c r="W36" s="184"/>
      <c r="X36" s="184"/>
      <c r="Y36" s="26"/>
      <c r="Z36" s="26"/>
      <c r="AA36" s="185"/>
      <c r="AB36" s="185"/>
      <c r="AC36" s="185"/>
      <c r="AD36" s="184"/>
      <c r="AE36" s="178"/>
      <c r="AF36" s="178"/>
      <c r="AG36" s="178"/>
      <c r="AH36" s="16"/>
      <c r="AI36" s="16"/>
      <c r="AJ36" s="16"/>
      <c r="AK36" s="16"/>
      <c r="AL36" s="18"/>
      <c r="AM36" s="16"/>
      <c r="AN36" s="17"/>
      <c r="AO36" s="10"/>
      <c r="AP36" s="10"/>
      <c r="AQ36" s="74"/>
      <c r="AR36" s="9"/>
      <c r="AS36" s="9"/>
      <c r="AT36" s="9"/>
      <c r="AU36" s="10"/>
      <c r="AV36" s="9"/>
      <c r="AW36" s="9"/>
      <c r="AX36" s="9"/>
      <c r="AY36" s="82"/>
      <c r="AZ36" s="82"/>
      <c r="BA36" s="9"/>
      <c r="BB36" s="9"/>
      <c r="BC36" s="9"/>
      <c r="BD36" s="9"/>
      <c r="BE36" s="10"/>
      <c r="BF36" s="9"/>
      <c r="BG36" s="9"/>
      <c r="BH36" s="9"/>
      <c r="BI36" s="11"/>
      <c r="BJ36" s="11"/>
      <c r="BK36" s="12"/>
      <c r="BL36" s="9"/>
      <c r="BM36" s="9"/>
      <c r="BN36" s="9"/>
      <c r="BO36" s="11"/>
      <c r="BP36" s="9"/>
      <c r="BQ36" s="9"/>
      <c r="BR36" s="9"/>
      <c r="BS36" s="9"/>
      <c r="BT36" s="174"/>
    </row>
    <row r="37" spans="1:72" s="14" customFormat="1" ht="15.6" customHeight="1" x14ac:dyDescent="0.15">
      <c r="A37" s="52"/>
      <c r="B37" s="595" t="s">
        <v>14</v>
      </c>
      <c r="C37" s="595"/>
      <c r="D37" s="595" t="s">
        <v>15</v>
      </c>
      <c r="E37" s="595"/>
      <c r="F37" s="595"/>
      <c r="G37" s="595"/>
      <c r="H37" s="595"/>
      <c r="I37" s="595" t="s">
        <v>16</v>
      </c>
      <c r="J37" s="595"/>
      <c r="K37" s="595"/>
      <c r="L37" s="595"/>
      <c r="M37" s="595"/>
      <c r="N37" s="595" t="s">
        <v>17</v>
      </c>
      <c r="O37" s="595"/>
      <c r="P37" s="595"/>
      <c r="Q37" s="595"/>
      <c r="R37" s="595"/>
      <c r="S37" s="608" t="s">
        <v>18</v>
      </c>
      <c r="T37" s="609"/>
      <c r="U37" s="609"/>
      <c r="V37" s="609"/>
      <c r="W37" s="609"/>
      <c r="X37" s="610"/>
      <c r="Y37" s="608" t="s">
        <v>19</v>
      </c>
      <c r="Z37" s="609"/>
      <c r="AA37" s="609"/>
      <c r="AB37" s="609"/>
      <c r="AC37" s="609"/>
      <c r="AD37" s="610"/>
      <c r="AE37" s="608" t="s">
        <v>72</v>
      </c>
      <c r="AF37" s="609"/>
      <c r="AG37" s="610"/>
      <c r="AH37" s="16"/>
      <c r="AI37" s="16"/>
      <c r="AJ37" s="16"/>
      <c r="AK37" s="16"/>
      <c r="AL37" s="16"/>
      <c r="AM37" s="16"/>
      <c r="AY37" s="80"/>
      <c r="AZ37" s="80"/>
    </row>
    <row r="38" spans="1:72" s="3" customFormat="1" ht="15.6" customHeight="1" x14ac:dyDescent="0.15">
      <c r="A38" s="49"/>
      <c r="B38" s="611" t="s">
        <v>9</v>
      </c>
      <c r="C38" s="611"/>
      <c r="D38" s="612">
        <f>25+35</f>
        <v>60</v>
      </c>
      <c r="E38" s="612"/>
      <c r="F38" s="612"/>
      <c r="G38" s="612"/>
      <c r="H38" s="612"/>
      <c r="I38" s="612">
        <f>3+4</f>
        <v>7</v>
      </c>
      <c r="J38" s="612"/>
      <c r="K38" s="612"/>
      <c r="L38" s="612"/>
      <c r="M38" s="612"/>
      <c r="N38" s="612">
        <f>1+0</f>
        <v>1</v>
      </c>
      <c r="O38" s="612"/>
      <c r="P38" s="612"/>
      <c r="Q38" s="612"/>
      <c r="R38" s="612"/>
      <c r="S38" s="638">
        <f>22+28</f>
        <v>50</v>
      </c>
      <c r="T38" s="639"/>
      <c r="U38" s="639"/>
      <c r="V38" s="639"/>
      <c r="W38" s="639"/>
      <c r="X38" s="640"/>
      <c r="Y38" s="638">
        <f>22+22</f>
        <v>44</v>
      </c>
      <c r="Z38" s="639"/>
      <c r="AA38" s="639"/>
      <c r="AB38" s="639"/>
      <c r="AC38" s="639"/>
      <c r="AD38" s="640"/>
      <c r="AE38" s="613">
        <f>S38-Y38</f>
        <v>6</v>
      </c>
      <c r="AF38" s="614"/>
      <c r="AG38" s="615"/>
      <c r="AH38" s="537"/>
      <c r="AI38" s="537"/>
      <c r="AJ38" s="888"/>
      <c r="AK38" s="888"/>
      <c r="AL38" s="888"/>
      <c r="AM38" s="888"/>
      <c r="AN38" s="18"/>
      <c r="AO38" s="14"/>
      <c r="AP38" s="14"/>
      <c r="AQ38" s="14"/>
      <c r="AY38" s="79"/>
      <c r="AZ38" s="79"/>
    </row>
    <row r="39" spans="1:72" s="3" customFormat="1" ht="15.6" customHeight="1" x14ac:dyDescent="0.15">
      <c r="A39" s="49"/>
      <c r="B39" s="632" t="s">
        <v>21</v>
      </c>
      <c r="C39" s="633"/>
      <c r="D39" s="624"/>
      <c r="E39" s="625"/>
      <c r="F39" s="625"/>
      <c r="G39" s="626"/>
      <c r="H39" s="627"/>
      <c r="I39" s="57" t="s">
        <v>22</v>
      </c>
      <c r="J39" s="58"/>
      <c r="K39" s="58"/>
      <c r="L39" s="622">
        <f>1+1</f>
        <v>2</v>
      </c>
      <c r="M39" s="623"/>
      <c r="N39" s="57" t="s">
        <v>62</v>
      </c>
      <c r="O39" s="58"/>
      <c r="P39" s="58"/>
      <c r="Q39" s="622">
        <v>1</v>
      </c>
      <c r="R39" s="623"/>
      <c r="S39" s="192" t="s">
        <v>23</v>
      </c>
      <c r="T39" s="193"/>
      <c r="U39" s="193"/>
      <c r="V39" s="193"/>
      <c r="W39" s="622">
        <f>2+5</f>
        <v>7</v>
      </c>
      <c r="X39" s="623"/>
      <c r="Y39" s="57" t="s">
        <v>97</v>
      </c>
      <c r="Z39" s="193"/>
      <c r="AA39" s="193"/>
      <c r="AB39" s="193"/>
      <c r="AC39" s="622">
        <f>0+0</f>
        <v>0</v>
      </c>
      <c r="AD39" s="623"/>
      <c r="AE39" s="175"/>
      <c r="AF39" s="176"/>
      <c r="AG39" s="5"/>
      <c r="AH39" s="16"/>
      <c r="AI39" s="16"/>
      <c r="AJ39" s="643"/>
      <c r="AK39" s="643"/>
      <c r="AL39" s="643"/>
      <c r="AM39" s="643"/>
      <c r="AN39" s="14"/>
      <c r="AO39" s="14"/>
      <c r="AP39" s="14"/>
      <c r="AQ39" s="14"/>
      <c r="AY39" s="79"/>
      <c r="AZ39" s="79"/>
    </row>
    <row r="40" spans="1:72" s="3" customFormat="1" ht="15.6" customHeight="1" x14ac:dyDescent="0.15">
      <c r="A40" s="49"/>
      <c r="B40" s="634"/>
      <c r="C40" s="635"/>
      <c r="D40" s="620"/>
      <c r="E40" s="621"/>
      <c r="F40" s="621"/>
      <c r="G40" s="621"/>
      <c r="H40" s="59"/>
      <c r="I40" s="60" t="s">
        <v>0</v>
      </c>
      <c r="J40" s="61"/>
      <c r="K40" s="61"/>
      <c r="L40" s="616">
        <f>1+0</f>
        <v>1</v>
      </c>
      <c r="M40" s="617"/>
      <c r="N40" s="60" t="s">
        <v>3</v>
      </c>
      <c r="O40" s="61"/>
      <c r="P40" s="61"/>
      <c r="Q40" s="616">
        <v>0</v>
      </c>
      <c r="R40" s="617"/>
      <c r="S40" s="190" t="s">
        <v>90</v>
      </c>
      <c r="T40" s="191"/>
      <c r="U40" s="191"/>
      <c r="V40" s="191"/>
      <c r="W40" s="616">
        <f>0+0</f>
        <v>0</v>
      </c>
      <c r="X40" s="617"/>
      <c r="Y40" s="60" t="s">
        <v>4</v>
      </c>
      <c r="Z40" s="61"/>
      <c r="AA40" s="61"/>
      <c r="AB40" s="61"/>
      <c r="AC40" s="616">
        <f>12+7</f>
        <v>19</v>
      </c>
      <c r="AD40" s="617"/>
      <c r="AE40" s="173"/>
      <c r="AF40" s="174"/>
      <c r="AG40" s="6"/>
      <c r="AH40" s="16"/>
      <c r="AI40" s="16"/>
      <c r="AJ40" s="16"/>
      <c r="AK40" s="16"/>
      <c r="AL40" s="16"/>
      <c r="AM40" s="16"/>
      <c r="AN40" s="14"/>
      <c r="AO40" s="14"/>
      <c r="AP40" s="14"/>
      <c r="AQ40" s="14"/>
      <c r="AY40" s="79"/>
      <c r="AZ40" s="79"/>
    </row>
    <row r="41" spans="1:72" s="3" customFormat="1" ht="15.6" customHeight="1" x14ac:dyDescent="0.15">
      <c r="A41" s="49"/>
      <c r="B41" s="634"/>
      <c r="C41" s="635"/>
      <c r="D41" s="620"/>
      <c r="E41" s="621"/>
      <c r="F41" s="621"/>
      <c r="G41" s="621"/>
      <c r="H41" s="59"/>
      <c r="I41" s="60" t="s">
        <v>61</v>
      </c>
      <c r="J41" s="61"/>
      <c r="K41" s="61"/>
      <c r="L41" s="616">
        <f>0+0</f>
        <v>0</v>
      </c>
      <c r="M41" s="617"/>
      <c r="N41" s="60" t="s">
        <v>0</v>
      </c>
      <c r="O41" s="61"/>
      <c r="P41" s="61"/>
      <c r="Q41" s="616">
        <v>0</v>
      </c>
      <c r="R41" s="617"/>
      <c r="S41" s="190" t="s">
        <v>91</v>
      </c>
      <c r="T41" s="191"/>
      <c r="U41" s="191"/>
      <c r="V41" s="191"/>
      <c r="W41" s="616">
        <f>1+1</f>
        <v>2</v>
      </c>
      <c r="X41" s="617"/>
      <c r="Y41" s="60" t="s">
        <v>2</v>
      </c>
      <c r="Z41" s="62"/>
      <c r="AA41" s="62"/>
      <c r="AB41" s="62"/>
      <c r="AC41" s="616">
        <f>1+2</f>
        <v>3</v>
      </c>
      <c r="AD41" s="617"/>
      <c r="AE41" s="173"/>
      <c r="AF41" s="174"/>
      <c r="AG41" s="6"/>
      <c r="AH41" s="16"/>
      <c r="AI41" s="16"/>
      <c r="AJ41" s="643"/>
      <c r="AK41" s="643"/>
      <c r="AL41" s="643"/>
      <c r="AM41" s="643"/>
      <c r="AN41" s="14"/>
      <c r="AO41" s="14"/>
      <c r="AP41" s="14"/>
      <c r="AQ41" s="14"/>
      <c r="AY41" s="79"/>
      <c r="AZ41" s="79"/>
    </row>
    <row r="42" spans="1:72" s="3" customFormat="1" ht="15.6" customHeight="1" x14ac:dyDescent="0.15">
      <c r="A42" s="49"/>
      <c r="B42" s="634"/>
      <c r="C42" s="635"/>
      <c r="D42" s="620"/>
      <c r="E42" s="621"/>
      <c r="F42" s="621"/>
      <c r="G42" s="621"/>
      <c r="H42" s="59"/>
      <c r="I42" s="60" t="s">
        <v>60</v>
      </c>
      <c r="J42" s="61"/>
      <c r="K42" s="61"/>
      <c r="L42" s="616">
        <f>1+3</f>
        <v>4</v>
      </c>
      <c r="M42" s="617"/>
      <c r="N42" s="60" t="s">
        <v>4</v>
      </c>
      <c r="O42" s="61"/>
      <c r="P42" s="61"/>
      <c r="Q42" s="616">
        <v>0</v>
      </c>
      <c r="R42" s="617"/>
      <c r="S42" s="190" t="s">
        <v>92</v>
      </c>
      <c r="T42" s="191"/>
      <c r="U42" s="191"/>
      <c r="V42" s="191"/>
      <c r="W42" s="616">
        <f>6+2</f>
        <v>8</v>
      </c>
      <c r="X42" s="617"/>
      <c r="Y42" s="60" t="s">
        <v>98</v>
      </c>
      <c r="Z42" s="61"/>
      <c r="AA42" s="61"/>
      <c r="AB42" s="61"/>
      <c r="AC42" s="616">
        <f>1+3</f>
        <v>4</v>
      </c>
      <c r="AD42" s="617"/>
      <c r="AE42" s="173"/>
      <c r="AF42" s="174"/>
      <c r="AG42" s="6"/>
      <c r="AH42" s="16"/>
      <c r="AI42" s="541"/>
      <c r="AJ42" s="16"/>
      <c r="AK42" s="16"/>
      <c r="AL42" s="16"/>
      <c r="AM42" s="16"/>
      <c r="AN42" s="14"/>
      <c r="AO42" s="14"/>
      <c r="AP42" s="14"/>
      <c r="AQ42" s="14"/>
      <c r="AY42" s="79"/>
      <c r="AZ42" s="79"/>
    </row>
    <row r="43" spans="1:72" s="3" customFormat="1" ht="15.6" customHeight="1" x14ac:dyDescent="0.15">
      <c r="A43" s="49"/>
      <c r="B43" s="634"/>
      <c r="C43" s="635"/>
      <c r="D43" s="620"/>
      <c r="E43" s="621"/>
      <c r="F43" s="621"/>
      <c r="G43" s="621"/>
      <c r="H43" s="59"/>
      <c r="I43" s="60"/>
      <c r="J43" s="61"/>
      <c r="K43" s="61"/>
      <c r="L43" s="61"/>
      <c r="M43" s="63"/>
      <c r="N43" s="60" t="s">
        <v>60</v>
      </c>
      <c r="O43" s="61"/>
      <c r="P43" s="61"/>
      <c r="Q43" s="616">
        <v>0</v>
      </c>
      <c r="R43" s="617"/>
      <c r="S43" s="190" t="s">
        <v>94</v>
      </c>
      <c r="T43" s="191"/>
      <c r="U43" s="191"/>
      <c r="V43" s="191"/>
      <c r="W43" s="616">
        <f>0+0</f>
        <v>0</v>
      </c>
      <c r="X43" s="617"/>
      <c r="Y43" s="60" t="s">
        <v>99</v>
      </c>
      <c r="Z43" s="61"/>
      <c r="AA43" s="61"/>
      <c r="AB43" s="61"/>
      <c r="AC43" s="618">
        <f>0+0</f>
        <v>0</v>
      </c>
      <c r="AD43" s="619"/>
      <c r="AE43" s="173"/>
      <c r="AF43" s="174"/>
      <c r="AG43" s="6"/>
      <c r="AH43" s="16"/>
      <c r="AI43" s="541"/>
      <c r="AJ43" s="16"/>
      <c r="AK43" s="16"/>
      <c r="AL43" s="16"/>
      <c r="AM43" s="16"/>
      <c r="AN43" s="14"/>
      <c r="AO43" s="14"/>
      <c r="AP43" s="14"/>
      <c r="AQ43" s="14"/>
      <c r="AY43" s="79"/>
      <c r="AZ43" s="79"/>
    </row>
    <row r="44" spans="1:72" s="3" customFormat="1" ht="15.6" customHeight="1" x14ac:dyDescent="0.15">
      <c r="A44" s="49"/>
      <c r="B44" s="634"/>
      <c r="C44" s="635"/>
      <c r="D44" s="161"/>
      <c r="E44" s="162"/>
      <c r="F44" s="162"/>
      <c r="G44" s="162"/>
      <c r="H44" s="59"/>
      <c r="I44" s="60"/>
      <c r="J44" s="61"/>
      <c r="K44" s="61"/>
      <c r="L44" s="61"/>
      <c r="M44" s="63"/>
      <c r="N44" s="60"/>
      <c r="O44" s="61"/>
      <c r="P44" s="61"/>
      <c r="Q44" s="159"/>
      <c r="R44" s="160"/>
      <c r="S44" s="190" t="s">
        <v>93</v>
      </c>
      <c r="T44" s="191"/>
      <c r="U44" s="191"/>
      <c r="V44" s="191"/>
      <c r="W44" s="616">
        <f>0+0</f>
        <v>0</v>
      </c>
      <c r="X44" s="617"/>
      <c r="Y44" s="60" t="s">
        <v>100</v>
      </c>
      <c r="Z44" s="61"/>
      <c r="AA44" s="61"/>
      <c r="AB44" s="61"/>
      <c r="AC44" s="618">
        <f>0+1</f>
        <v>1</v>
      </c>
      <c r="AD44" s="619"/>
      <c r="AE44" s="173"/>
      <c r="AF44" s="174"/>
      <c r="AG44" s="6"/>
      <c r="AH44" s="16"/>
      <c r="AI44" s="541"/>
      <c r="AJ44" s="16"/>
      <c r="AK44" s="16"/>
      <c r="AL44" s="16"/>
      <c r="AM44" s="16"/>
      <c r="AN44" s="14"/>
      <c r="AO44" s="14"/>
      <c r="AP44" s="14"/>
      <c r="AQ44" s="14"/>
      <c r="AY44" s="79"/>
      <c r="AZ44" s="79"/>
    </row>
    <row r="45" spans="1:72" s="3" customFormat="1" ht="15.6" customHeight="1" x14ac:dyDescent="0.15">
      <c r="A45" s="49"/>
      <c r="B45" s="634"/>
      <c r="C45" s="635"/>
      <c r="D45" s="161"/>
      <c r="E45" s="162"/>
      <c r="F45" s="162"/>
      <c r="G45" s="162"/>
      <c r="H45" s="59"/>
      <c r="I45" s="60"/>
      <c r="J45" s="61"/>
      <c r="K45" s="61"/>
      <c r="L45" s="61"/>
      <c r="M45" s="63"/>
      <c r="N45" s="60"/>
      <c r="O45" s="61"/>
      <c r="P45" s="61"/>
      <c r="Q45" s="159"/>
      <c r="R45" s="160"/>
      <c r="S45" s="190" t="s">
        <v>95</v>
      </c>
      <c r="T45" s="191"/>
      <c r="U45" s="191"/>
      <c r="V45" s="191"/>
      <c r="W45" s="616">
        <f>0+3</f>
        <v>3</v>
      </c>
      <c r="X45" s="617"/>
      <c r="Y45" s="60" t="s">
        <v>101</v>
      </c>
      <c r="Z45" s="61"/>
      <c r="AA45" s="61"/>
      <c r="AB45" s="61"/>
      <c r="AC45" s="618">
        <f>0+0</f>
        <v>0</v>
      </c>
      <c r="AD45" s="619"/>
      <c r="AE45" s="173"/>
      <c r="AF45" s="174"/>
      <c r="AG45" s="6"/>
      <c r="AH45" s="16"/>
      <c r="AI45" s="541"/>
      <c r="AJ45" s="16"/>
      <c r="AK45" s="16"/>
      <c r="AL45" s="16"/>
      <c r="AM45" s="16"/>
      <c r="AN45" s="14"/>
      <c r="AO45" s="14"/>
      <c r="AP45" s="14"/>
      <c r="AQ45" s="14"/>
      <c r="AY45" s="79"/>
      <c r="AZ45" s="79"/>
    </row>
    <row r="46" spans="1:72" s="3" customFormat="1" ht="15.6" customHeight="1" x14ac:dyDescent="0.15">
      <c r="A46" s="49"/>
      <c r="B46" s="634"/>
      <c r="C46" s="635"/>
      <c r="D46" s="161"/>
      <c r="E46" s="162"/>
      <c r="F46" s="162"/>
      <c r="G46" s="162"/>
      <c r="H46" s="59"/>
      <c r="I46" s="60"/>
      <c r="J46" s="61"/>
      <c r="K46" s="61"/>
      <c r="L46" s="61"/>
      <c r="M46" s="63"/>
      <c r="N46" s="60"/>
      <c r="O46" s="61"/>
      <c r="P46" s="61"/>
      <c r="Q46" s="159"/>
      <c r="R46" s="160"/>
      <c r="S46" s="190" t="s">
        <v>96</v>
      </c>
      <c r="T46" s="191"/>
      <c r="U46" s="191"/>
      <c r="V46" s="191"/>
      <c r="W46" s="616">
        <f>0+0</f>
        <v>0</v>
      </c>
      <c r="X46" s="617"/>
      <c r="Y46" s="60" t="s">
        <v>103</v>
      </c>
      <c r="Z46" s="61"/>
      <c r="AA46" s="61"/>
      <c r="AB46" s="61"/>
      <c r="AC46" s="618">
        <f>1+5</f>
        <v>6</v>
      </c>
      <c r="AD46" s="619"/>
      <c r="AE46" s="173"/>
      <c r="AF46" s="174"/>
      <c r="AG46" s="6"/>
      <c r="AH46" s="16"/>
      <c r="AI46" s="541"/>
      <c r="AJ46" s="16"/>
      <c r="AK46" s="16"/>
      <c r="AL46" s="16"/>
      <c r="AM46" s="16"/>
      <c r="AN46" s="14"/>
      <c r="AO46" s="14"/>
      <c r="AP46" s="14"/>
      <c r="AQ46" s="14"/>
      <c r="AY46" s="79"/>
      <c r="AZ46" s="79"/>
    </row>
    <row r="47" spans="1:72" s="3" customFormat="1" ht="15.6" customHeight="1" x14ac:dyDescent="0.15">
      <c r="A47" s="49"/>
      <c r="B47" s="634"/>
      <c r="C47" s="635"/>
      <c r="D47" s="161"/>
      <c r="E47" s="162"/>
      <c r="F47" s="162"/>
      <c r="G47" s="162"/>
      <c r="H47" s="59"/>
      <c r="I47" s="60"/>
      <c r="J47" s="61"/>
      <c r="K47" s="61"/>
      <c r="L47" s="61"/>
      <c r="M47" s="63"/>
      <c r="N47" s="60"/>
      <c r="O47" s="61"/>
      <c r="P47" s="61"/>
      <c r="Q47" s="159"/>
      <c r="R47" s="160"/>
      <c r="S47" s="190" t="s">
        <v>80</v>
      </c>
      <c r="T47" s="191"/>
      <c r="U47" s="191"/>
      <c r="V47" s="191"/>
      <c r="W47" s="616">
        <f>12+14</f>
        <v>26</v>
      </c>
      <c r="X47" s="617"/>
      <c r="Y47" s="60" t="s">
        <v>104</v>
      </c>
      <c r="Z47" s="61"/>
      <c r="AA47" s="61"/>
      <c r="AB47" s="61"/>
      <c r="AC47" s="618">
        <f>0+0</f>
        <v>0</v>
      </c>
      <c r="AD47" s="619"/>
      <c r="AE47" s="173"/>
      <c r="AF47" s="174"/>
      <c r="AG47" s="6"/>
      <c r="AH47" s="16"/>
      <c r="AI47" s="16"/>
      <c r="AJ47" s="16"/>
      <c r="AK47" s="16"/>
      <c r="AL47" s="16"/>
      <c r="AM47" s="16"/>
      <c r="AN47" s="14"/>
      <c r="AO47" s="14"/>
      <c r="AP47" s="14"/>
      <c r="AQ47" s="14"/>
      <c r="AY47" s="79"/>
      <c r="AZ47" s="79"/>
    </row>
    <row r="48" spans="1:72" s="3" customFormat="1" ht="15.6" customHeight="1" x14ac:dyDescent="0.15">
      <c r="A48" s="49"/>
      <c r="B48" s="634"/>
      <c r="C48" s="635"/>
      <c r="D48" s="161"/>
      <c r="E48" s="162"/>
      <c r="F48" s="162"/>
      <c r="G48" s="162"/>
      <c r="H48" s="59"/>
      <c r="I48" s="60"/>
      <c r="J48" s="61"/>
      <c r="K48" s="61"/>
      <c r="L48" s="61"/>
      <c r="M48" s="63"/>
      <c r="N48" s="60"/>
      <c r="O48" s="61"/>
      <c r="P48" s="61"/>
      <c r="Q48" s="159"/>
      <c r="R48" s="160"/>
      <c r="S48" s="190" t="s">
        <v>102</v>
      </c>
      <c r="T48" s="191"/>
      <c r="U48" s="191"/>
      <c r="V48" s="191"/>
      <c r="W48" s="616">
        <f>0+0</f>
        <v>0</v>
      </c>
      <c r="X48" s="617"/>
      <c r="Y48" s="60" t="s">
        <v>105</v>
      </c>
      <c r="Z48" s="61"/>
      <c r="AA48" s="61"/>
      <c r="AB48" s="61"/>
      <c r="AC48" s="618">
        <f>2+4</f>
        <v>6</v>
      </c>
      <c r="AD48" s="619"/>
      <c r="AE48" s="173"/>
      <c r="AF48" s="174"/>
      <c r="AG48" s="6"/>
      <c r="AH48" s="16"/>
      <c r="AI48" s="16"/>
      <c r="AJ48" s="16"/>
      <c r="AK48" s="16"/>
      <c r="AL48" s="16"/>
      <c r="AM48" s="16"/>
      <c r="AN48" s="14"/>
      <c r="AO48" s="14"/>
      <c r="AP48" s="14"/>
      <c r="AQ48" s="14"/>
      <c r="AY48" s="79"/>
      <c r="AZ48" s="79"/>
    </row>
    <row r="49" spans="1:52" s="3" customFormat="1" ht="15.6" customHeight="1" x14ac:dyDescent="0.15">
      <c r="A49" s="49"/>
      <c r="B49" s="636"/>
      <c r="C49" s="637"/>
      <c r="D49" s="628"/>
      <c r="E49" s="629"/>
      <c r="F49" s="629"/>
      <c r="G49" s="629"/>
      <c r="H49" s="64"/>
      <c r="I49" s="65"/>
      <c r="J49" s="66"/>
      <c r="K49" s="66"/>
      <c r="L49" s="66"/>
      <c r="M49" s="67"/>
      <c r="N49" s="65"/>
      <c r="O49" s="66"/>
      <c r="P49" s="66"/>
      <c r="Q49" s="66"/>
      <c r="R49" s="67"/>
      <c r="S49" s="188" t="s">
        <v>24</v>
      </c>
      <c r="T49" s="189"/>
      <c r="U49" s="189"/>
      <c r="V49" s="189"/>
      <c r="W49" s="630">
        <f>1+3</f>
        <v>4</v>
      </c>
      <c r="X49" s="631"/>
      <c r="Y49" s="65" t="s">
        <v>24</v>
      </c>
      <c r="Z49" s="68"/>
      <c r="AA49" s="66"/>
      <c r="AB49" s="66"/>
      <c r="AC49" s="630">
        <f>5+0</f>
        <v>5</v>
      </c>
      <c r="AD49" s="631"/>
      <c r="AE49" s="177"/>
      <c r="AF49" s="178"/>
      <c r="AG49" s="8"/>
      <c r="AH49" s="16"/>
      <c r="AI49" s="16"/>
      <c r="AJ49" s="16"/>
      <c r="AK49" s="16"/>
      <c r="AL49" s="16"/>
      <c r="AM49" s="16"/>
      <c r="AN49" s="14"/>
      <c r="AO49" s="14"/>
      <c r="AP49" s="14"/>
      <c r="AQ49" s="14"/>
      <c r="AY49" s="79"/>
      <c r="AZ49" s="79"/>
    </row>
    <row r="50" spans="1:52" s="3" customFormat="1" ht="15.6" customHeight="1" x14ac:dyDescent="0.15">
      <c r="A50" s="49"/>
      <c r="B50" s="179"/>
      <c r="C50" s="179"/>
      <c r="D50" s="174"/>
      <c r="E50" s="174"/>
      <c r="F50" s="174"/>
      <c r="G50" s="174"/>
      <c r="H50" s="174"/>
      <c r="I50" s="174"/>
      <c r="J50" s="174"/>
      <c r="K50" s="174"/>
      <c r="L50" s="174"/>
      <c r="M50" s="174"/>
      <c r="N50" s="174"/>
      <c r="O50" s="174"/>
      <c r="P50" s="182"/>
      <c r="Q50" s="182"/>
      <c r="R50" s="179"/>
      <c r="S50" s="174"/>
      <c r="T50" s="174"/>
      <c r="U50" s="174"/>
      <c r="V50" s="174"/>
      <c r="W50" s="180"/>
      <c r="X50" s="180"/>
      <c r="Y50" s="182"/>
      <c r="Z50" s="37"/>
      <c r="AA50" s="182"/>
      <c r="AB50" s="182"/>
      <c r="AC50" s="180"/>
      <c r="AD50" s="180"/>
      <c r="AE50" s="174"/>
      <c r="AF50" s="174"/>
      <c r="AG50" s="174"/>
      <c r="AH50" s="16"/>
      <c r="AI50" s="16"/>
      <c r="AJ50" s="16"/>
      <c r="AK50" s="16"/>
      <c r="AL50" s="16"/>
      <c r="AM50" s="16"/>
      <c r="AN50" s="14"/>
      <c r="AO50" s="14"/>
      <c r="AP50" s="14"/>
      <c r="AQ50" s="14"/>
      <c r="AY50" s="79"/>
      <c r="AZ50" s="79"/>
    </row>
    <row r="51" spans="1:52" s="3" customFormat="1" ht="15.6" customHeight="1" x14ac:dyDescent="0.15">
      <c r="A51" s="49"/>
      <c r="B51" s="179"/>
      <c r="C51" s="179"/>
      <c r="D51" s="174"/>
      <c r="E51" s="174"/>
      <c r="F51" s="174"/>
      <c r="G51" s="174"/>
      <c r="H51" s="174"/>
      <c r="I51" s="174"/>
      <c r="J51" s="174"/>
      <c r="K51" s="174"/>
      <c r="L51" s="174"/>
      <c r="M51" s="174"/>
      <c r="N51" s="174"/>
      <c r="O51" s="174"/>
      <c r="P51" s="182"/>
      <c r="Q51" s="182"/>
      <c r="R51" s="179"/>
      <c r="S51" s="174"/>
      <c r="T51" s="174"/>
      <c r="U51" s="174"/>
      <c r="V51" s="174"/>
      <c r="W51" s="180"/>
      <c r="X51" s="180"/>
      <c r="Y51" s="182"/>
      <c r="Z51" s="37"/>
      <c r="AA51" s="182"/>
      <c r="AB51" s="182"/>
      <c r="AC51" s="180"/>
      <c r="AD51" s="180"/>
      <c r="AE51" s="174"/>
      <c r="AF51" s="174"/>
      <c r="AG51" s="174"/>
      <c r="AH51" s="16"/>
      <c r="AI51" s="16"/>
      <c r="AJ51" s="16"/>
      <c r="AK51" s="16"/>
      <c r="AL51" s="16"/>
      <c r="AM51" s="16"/>
      <c r="AN51" s="14"/>
      <c r="AO51" s="14"/>
      <c r="AP51" s="14"/>
      <c r="AQ51" s="14"/>
      <c r="AY51" s="79"/>
      <c r="AZ51" s="79"/>
    </row>
    <row r="52" spans="1:52" s="3" customFormat="1" ht="15.6" customHeight="1" x14ac:dyDescent="0.15">
      <c r="A52" s="49"/>
      <c r="B52" s="179"/>
      <c r="C52" s="179"/>
      <c r="D52" s="174"/>
      <c r="E52" s="174"/>
      <c r="F52" s="174"/>
      <c r="G52" s="174"/>
      <c r="H52" s="174"/>
      <c r="I52" s="174"/>
      <c r="J52" s="174"/>
      <c r="K52" s="174"/>
      <c r="L52" s="174"/>
      <c r="M52" s="174"/>
      <c r="N52" s="174"/>
      <c r="O52" s="174"/>
      <c r="P52" s="182"/>
      <c r="Q52" s="182"/>
      <c r="R52" s="179"/>
      <c r="S52" s="174"/>
      <c r="T52" s="174"/>
      <c r="U52" s="174"/>
      <c r="V52" s="174"/>
      <c r="W52" s="180"/>
      <c r="X52" s="180"/>
      <c r="Y52" s="182"/>
      <c r="Z52" s="37"/>
      <c r="AA52" s="182"/>
      <c r="AB52" s="182"/>
      <c r="AC52" s="180"/>
      <c r="AD52" s="180"/>
      <c r="AE52" s="174"/>
      <c r="AF52" s="174"/>
      <c r="AG52" s="174"/>
      <c r="AH52" s="16"/>
      <c r="AI52" s="16"/>
      <c r="AJ52" s="16"/>
      <c r="AK52" s="16"/>
      <c r="AL52" s="16"/>
      <c r="AM52" s="16"/>
      <c r="AN52" s="14"/>
      <c r="AO52" s="14"/>
      <c r="AP52" s="14"/>
      <c r="AQ52" s="14"/>
      <c r="AY52" s="79"/>
      <c r="AZ52" s="79"/>
    </row>
    <row r="53" spans="1:52" s="3" customFormat="1" ht="15.6" customHeight="1" x14ac:dyDescent="0.15">
      <c r="A53" s="49"/>
      <c r="B53" s="179"/>
      <c r="C53" s="179"/>
      <c r="D53" s="174"/>
      <c r="E53" s="174"/>
      <c r="F53" s="174"/>
      <c r="G53" s="174"/>
      <c r="H53" s="174"/>
      <c r="I53" s="174"/>
      <c r="J53" s="174"/>
      <c r="K53" s="174"/>
      <c r="L53" s="174"/>
      <c r="M53" s="174"/>
      <c r="N53" s="174"/>
      <c r="O53" s="174"/>
      <c r="P53" s="182"/>
      <c r="Q53" s="182"/>
      <c r="R53" s="179"/>
      <c r="S53" s="174"/>
      <c r="T53" s="174"/>
      <c r="U53" s="174"/>
      <c r="V53" s="174"/>
      <c r="W53" s="180"/>
      <c r="X53" s="180"/>
      <c r="Y53" s="182"/>
      <c r="Z53" s="37"/>
      <c r="AA53" s="182"/>
      <c r="AB53" s="182"/>
      <c r="AC53" s="180"/>
      <c r="AD53" s="180"/>
      <c r="AE53" s="174"/>
      <c r="AF53" s="174"/>
      <c r="AG53" s="174"/>
      <c r="AH53" s="16"/>
      <c r="AI53" s="16"/>
      <c r="AJ53" s="16"/>
      <c r="AK53" s="16"/>
      <c r="AL53" s="16"/>
      <c r="AM53" s="16"/>
      <c r="AN53" s="14"/>
      <c r="AO53" s="14"/>
      <c r="AP53" s="14"/>
      <c r="AQ53" s="14"/>
      <c r="AY53" s="79"/>
      <c r="AZ53" s="79"/>
    </row>
    <row r="54" spans="1:52" s="3" customFormat="1" ht="15.6" customHeight="1" x14ac:dyDescent="0.15">
      <c r="A54" s="49"/>
      <c r="B54" s="179"/>
      <c r="C54" s="179"/>
      <c r="D54" s="174"/>
      <c r="E54" s="174"/>
      <c r="F54" s="174"/>
      <c r="G54" s="174"/>
      <c r="H54" s="174"/>
      <c r="I54" s="174"/>
      <c r="J54" s="174"/>
      <c r="K54" s="174"/>
      <c r="L54" s="174"/>
      <c r="M54" s="174"/>
      <c r="N54" s="174"/>
      <c r="O54" s="174"/>
      <c r="P54" s="182"/>
      <c r="Q54" s="182"/>
      <c r="R54" s="179"/>
      <c r="S54" s="174"/>
      <c r="T54" s="174"/>
      <c r="U54" s="174"/>
      <c r="V54" s="174"/>
      <c r="W54" s="180"/>
      <c r="X54" s="180"/>
      <c r="Y54" s="182"/>
      <c r="Z54" s="37"/>
      <c r="AA54" s="182"/>
      <c r="AB54" s="182"/>
      <c r="AC54" s="180"/>
      <c r="AD54" s="180"/>
      <c r="AE54" s="174"/>
      <c r="AF54" s="174"/>
      <c r="AG54" s="174"/>
      <c r="AH54" s="16"/>
      <c r="AI54" s="16"/>
      <c r="AJ54" s="16"/>
      <c r="AK54" s="16"/>
      <c r="AL54" s="16"/>
      <c r="AM54" s="16"/>
      <c r="AN54" s="14"/>
      <c r="AO54" s="14"/>
      <c r="AP54" s="14"/>
      <c r="AQ54" s="14"/>
      <c r="AY54" s="79"/>
      <c r="AZ54" s="79"/>
    </row>
    <row r="55" spans="1:52" s="3" customFormat="1" ht="15.6" customHeight="1" x14ac:dyDescent="0.15">
      <c r="A55" s="50" t="s">
        <v>125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4"/>
      <c r="AO55" s="14"/>
      <c r="AP55" s="14"/>
      <c r="AQ55" s="14"/>
      <c r="AY55" s="79"/>
      <c r="AZ55" s="79"/>
    </row>
    <row r="56" spans="1:52" s="3" customFormat="1" ht="15.6" customHeight="1" x14ac:dyDescent="0.15">
      <c r="A56" s="54"/>
      <c r="B56" s="644" t="s">
        <v>25</v>
      </c>
      <c r="C56" s="645"/>
      <c r="D56" s="645"/>
      <c r="E56" s="646"/>
      <c r="F56" s="647" t="s">
        <v>26</v>
      </c>
      <c r="G56" s="647"/>
      <c r="H56" s="647"/>
      <c r="I56" s="647"/>
      <c r="J56" s="647" t="s">
        <v>83</v>
      </c>
      <c r="K56" s="647"/>
      <c r="L56" s="647"/>
      <c r="M56" s="647"/>
      <c r="N56" s="647" t="s">
        <v>27</v>
      </c>
      <c r="O56" s="647"/>
      <c r="P56" s="647"/>
      <c r="Q56" s="647"/>
      <c r="R56" s="647" t="s">
        <v>84</v>
      </c>
      <c r="S56" s="647"/>
      <c r="T56" s="647"/>
      <c r="U56" s="647"/>
      <c r="V56" s="647" t="s">
        <v>85</v>
      </c>
      <c r="W56" s="647"/>
      <c r="X56" s="647"/>
      <c r="Y56" s="647"/>
      <c r="Z56" s="647" t="s">
        <v>28</v>
      </c>
      <c r="AA56" s="647"/>
      <c r="AB56" s="647"/>
      <c r="AC56" s="647"/>
      <c r="AD56" s="644" t="s">
        <v>29</v>
      </c>
      <c r="AE56" s="645"/>
      <c r="AF56" s="645"/>
      <c r="AG56" s="646"/>
      <c r="AH56" s="16"/>
      <c r="AI56" s="16"/>
      <c r="AJ56" s="16"/>
      <c r="AK56" s="16"/>
      <c r="AL56" s="16"/>
      <c r="AM56" s="16"/>
      <c r="AN56" s="14"/>
      <c r="AO56" s="14"/>
      <c r="AP56" s="14"/>
      <c r="AQ56" s="14"/>
      <c r="AY56" s="79"/>
      <c r="AZ56" s="79"/>
    </row>
    <row r="57" spans="1:52" s="14" customFormat="1" ht="15.6" customHeight="1" x14ac:dyDescent="0.15">
      <c r="B57" s="701" t="s">
        <v>182</v>
      </c>
      <c r="C57" s="702"/>
      <c r="D57" s="702"/>
      <c r="E57" s="703"/>
      <c r="F57" s="829" t="s">
        <v>9</v>
      </c>
      <c r="G57" s="830"/>
      <c r="H57" s="830"/>
      <c r="I57" s="831"/>
      <c r="J57" s="613">
        <v>1286</v>
      </c>
      <c r="K57" s="614"/>
      <c r="L57" s="614"/>
      <c r="M57" s="615"/>
      <c r="N57" s="613">
        <v>115</v>
      </c>
      <c r="O57" s="614"/>
      <c r="P57" s="614"/>
      <c r="Q57" s="615"/>
      <c r="R57" s="613">
        <v>373</v>
      </c>
      <c r="S57" s="614"/>
      <c r="T57" s="614"/>
      <c r="U57" s="615"/>
      <c r="V57" s="613">
        <v>283</v>
      </c>
      <c r="W57" s="614"/>
      <c r="X57" s="614"/>
      <c r="Y57" s="615"/>
      <c r="Z57" s="613">
        <v>513</v>
      </c>
      <c r="AA57" s="614"/>
      <c r="AB57" s="614"/>
      <c r="AC57" s="615"/>
      <c r="AD57" s="613">
        <f>SUM(J57:AC57)</f>
        <v>2570</v>
      </c>
      <c r="AE57" s="614"/>
      <c r="AF57" s="614"/>
      <c r="AG57" s="615"/>
      <c r="AQ57" s="85"/>
      <c r="AR57" s="85"/>
      <c r="AY57" s="80"/>
      <c r="AZ57" s="80"/>
    </row>
    <row r="58" spans="1:52" s="14" customFormat="1" ht="15.6" customHeight="1" x14ac:dyDescent="0.15">
      <c r="B58" s="711"/>
      <c r="C58" s="712"/>
      <c r="D58" s="712"/>
      <c r="E58" s="713"/>
      <c r="F58" s="832" t="s">
        <v>30</v>
      </c>
      <c r="G58" s="833"/>
      <c r="H58" s="833"/>
      <c r="I58" s="834"/>
      <c r="J58" s="835">
        <f>J57/$AD$57</f>
        <v>0.50038910505836576</v>
      </c>
      <c r="K58" s="836"/>
      <c r="L58" s="836"/>
      <c r="M58" s="837"/>
      <c r="N58" s="835">
        <f>N57/$AD$57</f>
        <v>4.4747081712062257E-2</v>
      </c>
      <c r="O58" s="836"/>
      <c r="P58" s="836"/>
      <c r="Q58" s="837"/>
      <c r="R58" s="835">
        <f>R57/$AD$57</f>
        <v>0.14513618677042803</v>
      </c>
      <c r="S58" s="836"/>
      <c r="T58" s="836"/>
      <c r="U58" s="837"/>
      <c r="V58" s="835">
        <f>V57/$AD$57</f>
        <v>0.11011673151750972</v>
      </c>
      <c r="W58" s="836"/>
      <c r="X58" s="836"/>
      <c r="Y58" s="837"/>
      <c r="Z58" s="835">
        <f>Z57/$AD$57</f>
        <v>0.19961089494163425</v>
      </c>
      <c r="AA58" s="836"/>
      <c r="AB58" s="836"/>
      <c r="AC58" s="837"/>
      <c r="AD58" s="835">
        <v>1</v>
      </c>
      <c r="AE58" s="836"/>
      <c r="AF58" s="836"/>
      <c r="AG58" s="837"/>
      <c r="AJ58" s="84"/>
      <c r="AQ58" s="653"/>
      <c r="AR58" s="654"/>
      <c r="AY58" s="80"/>
      <c r="AZ58" s="80"/>
    </row>
    <row r="59" spans="1:52" s="14" customFormat="1" ht="15.6" customHeight="1" x14ac:dyDescent="0.15">
      <c r="B59" s="701" t="s">
        <v>150</v>
      </c>
      <c r="C59" s="702"/>
      <c r="D59" s="702"/>
      <c r="E59" s="703"/>
      <c r="F59" s="829" t="s">
        <v>9</v>
      </c>
      <c r="G59" s="830"/>
      <c r="H59" s="830"/>
      <c r="I59" s="831"/>
      <c r="J59" s="613">
        <v>1261</v>
      </c>
      <c r="K59" s="614"/>
      <c r="L59" s="614"/>
      <c r="M59" s="615"/>
      <c r="N59" s="613">
        <v>121</v>
      </c>
      <c r="O59" s="614"/>
      <c r="P59" s="614"/>
      <c r="Q59" s="615"/>
      <c r="R59" s="613">
        <v>356</v>
      </c>
      <c r="S59" s="614"/>
      <c r="T59" s="614"/>
      <c r="U59" s="615"/>
      <c r="V59" s="613">
        <v>290</v>
      </c>
      <c r="W59" s="614"/>
      <c r="X59" s="614"/>
      <c r="Y59" s="615"/>
      <c r="Z59" s="613">
        <v>508</v>
      </c>
      <c r="AA59" s="614"/>
      <c r="AB59" s="614"/>
      <c r="AC59" s="615"/>
      <c r="AD59" s="613">
        <f>SUM(J59:AC59)</f>
        <v>2536</v>
      </c>
      <c r="AE59" s="614"/>
      <c r="AF59" s="614"/>
      <c r="AG59" s="615"/>
      <c r="AJ59" s="84"/>
      <c r="AQ59" s="654"/>
      <c r="AR59" s="654"/>
      <c r="AY59" s="80"/>
      <c r="AZ59" s="80"/>
    </row>
    <row r="60" spans="1:52" s="14" customFormat="1" ht="15.6" customHeight="1" x14ac:dyDescent="0.15">
      <c r="B60" s="711"/>
      <c r="C60" s="712"/>
      <c r="D60" s="712"/>
      <c r="E60" s="713"/>
      <c r="F60" s="832" t="s">
        <v>30</v>
      </c>
      <c r="G60" s="833"/>
      <c r="H60" s="833"/>
      <c r="I60" s="834"/>
      <c r="J60" s="835">
        <f>J59/$AD$59</f>
        <v>0.49723974763406942</v>
      </c>
      <c r="K60" s="836"/>
      <c r="L60" s="836"/>
      <c r="M60" s="837"/>
      <c r="N60" s="835">
        <f>N59/AD59</f>
        <v>4.7712933753943219E-2</v>
      </c>
      <c r="O60" s="836"/>
      <c r="P60" s="836"/>
      <c r="Q60" s="837"/>
      <c r="R60" s="835">
        <f>R59/AD59</f>
        <v>0.14037854889589904</v>
      </c>
      <c r="S60" s="836"/>
      <c r="T60" s="836"/>
      <c r="U60" s="837"/>
      <c r="V60" s="835">
        <f>V59/AD59</f>
        <v>0.11435331230283911</v>
      </c>
      <c r="W60" s="836"/>
      <c r="X60" s="836"/>
      <c r="Y60" s="837"/>
      <c r="Z60" s="835">
        <v>0.20100000000000001</v>
      </c>
      <c r="AA60" s="836"/>
      <c r="AB60" s="836"/>
      <c r="AC60" s="837"/>
      <c r="AD60" s="661">
        <v>1</v>
      </c>
      <c r="AE60" s="662"/>
      <c r="AF60" s="662"/>
      <c r="AG60" s="663"/>
      <c r="AJ60" s="84"/>
      <c r="AQ60" s="654"/>
      <c r="AR60" s="654"/>
      <c r="AY60" s="80"/>
      <c r="AZ60" s="80"/>
    </row>
    <row r="61" spans="1:52" s="14" customFormat="1" ht="15.6" customHeight="1" x14ac:dyDescent="0.15">
      <c r="A61" s="16"/>
      <c r="B61" s="667" t="s">
        <v>31</v>
      </c>
      <c r="C61" s="668"/>
      <c r="D61" s="668"/>
      <c r="E61" s="669"/>
      <c r="F61" s="673" t="s">
        <v>9</v>
      </c>
      <c r="G61" s="673"/>
      <c r="H61" s="673"/>
      <c r="I61" s="673"/>
      <c r="J61" s="674">
        <f>J57-J59</f>
        <v>25</v>
      </c>
      <c r="K61" s="674"/>
      <c r="L61" s="674"/>
      <c r="M61" s="674"/>
      <c r="N61" s="674">
        <f>N57-N59</f>
        <v>-6</v>
      </c>
      <c r="O61" s="674"/>
      <c r="P61" s="674"/>
      <c r="Q61" s="674"/>
      <c r="R61" s="674">
        <f>R57-R59</f>
        <v>17</v>
      </c>
      <c r="S61" s="674"/>
      <c r="T61" s="674"/>
      <c r="U61" s="674"/>
      <c r="V61" s="674">
        <f>V57-V59</f>
        <v>-7</v>
      </c>
      <c r="W61" s="674"/>
      <c r="X61" s="674"/>
      <c r="Y61" s="674"/>
      <c r="Z61" s="674">
        <f>Z57-Z59</f>
        <v>5</v>
      </c>
      <c r="AA61" s="674"/>
      <c r="AB61" s="674"/>
      <c r="AC61" s="674"/>
      <c r="AD61" s="675">
        <f>SUM(J61:AC61)</f>
        <v>34</v>
      </c>
      <c r="AE61" s="676"/>
      <c r="AF61" s="676"/>
      <c r="AG61" s="677"/>
      <c r="AH61" s="16"/>
      <c r="AI61" s="16"/>
      <c r="AJ61" s="16"/>
      <c r="AK61" s="16"/>
      <c r="AL61" s="16"/>
      <c r="AM61" s="16"/>
      <c r="AQ61" s="654"/>
      <c r="AR61" s="654"/>
      <c r="AY61" s="80"/>
      <c r="AZ61" s="80"/>
    </row>
    <row r="62" spans="1:52" s="14" customFormat="1" ht="15.6" customHeight="1" x14ac:dyDescent="0.15">
      <c r="A62" s="16"/>
      <c r="B62" s="670"/>
      <c r="C62" s="671"/>
      <c r="D62" s="671"/>
      <c r="E62" s="672"/>
      <c r="F62" s="692" t="s">
        <v>32</v>
      </c>
      <c r="G62" s="692"/>
      <c r="H62" s="692"/>
      <c r="I62" s="692"/>
      <c r="J62" s="693">
        <f>J57/J59</f>
        <v>1.0198255352894527</v>
      </c>
      <c r="K62" s="693"/>
      <c r="L62" s="693"/>
      <c r="M62" s="693"/>
      <c r="N62" s="693">
        <f>N57/N59</f>
        <v>0.95041322314049592</v>
      </c>
      <c r="O62" s="693"/>
      <c r="P62" s="693"/>
      <c r="Q62" s="693"/>
      <c r="R62" s="693">
        <f>R57/R59</f>
        <v>1.047752808988764</v>
      </c>
      <c r="S62" s="693"/>
      <c r="T62" s="693"/>
      <c r="U62" s="693"/>
      <c r="V62" s="693">
        <f>V57/V59</f>
        <v>0.97586206896551719</v>
      </c>
      <c r="W62" s="693"/>
      <c r="X62" s="693"/>
      <c r="Y62" s="693"/>
      <c r="Z62" s="693">
        <f>Z57/Z59</f>
        <v>1.0098425196850394</v>
      </c>
      <c r="AA62" s="693"/>
      <c r="AB62" s="693"/>
      <c r="AC62" s="693"/>
      <c r="AD62" s="694">
        <f>AD57/AD59</f>
        <v>1.0134069400630914</v>
      </c>
      <c r="AE62" s="695"/>
      <c r="AF62" s="695"/>
      <c r="AG62" s="696"/>
      <c r="AH62" s="16"/>
      <c r="AI62" s="16"/>
      <c r="AJ62" s="16"/>
      <c r="AK62" s="16"/>
      <c r="AL62" s="16"/>
      <c r="AM62" s="16"/>
      <c r="AQ62" s="654"/>
      <c r="AR62" s="654"/>
      <c r="AY62" s="80"/>
      <c r="AZ62" s="80"/>
    </row>
    <row r="63" spans="1:52" s="3" customFormat="1" ht="15.6" customHeight="1" x14ac:dyDescent="0.15">
      <c r="A63" s="49"/>
      <c r="B63" s="179"/>
      <c r="C63" s="179"/>
      <c r="D63" s="174"/>
      <c r="E63" s="174"/>
      <c r="F63" s="174"/>
      <c r="G63" s="174"/>
      <c r="H63" s="168"/>
      <c r="I63" s="182"/>
      <c r="J63" s="182"/>
      <c r="K63" s="182"/>
      <c r="L63" s="182"/>
      <c r="M63" s="179"/>
      <c r="N63" s="182"/>
      <c r="O63" s="182"/>
      <c r="P63" s="182"/>
      <c r="Q63" s="182"/>
      <c r="R63" s="179"/>
      <c r="S63" s="174"/>
      <c r="T63" s="174"/>
      <c r="U63" s="174"/>
      <c r="V63" s="174"/>
      <c r="W63" s="180"/>
      <c r="X63" s="180"/>
      <c r="Y63" s="182"/>
      <c r="Z63" s="37"/>
      <c r="AA63" s="182"/>
      <c r="AB63" s="182"/>
      <c r="AC63" s="180"/>
      <c r="AD63" s="180"/>
      <c r="AE63" s="174"/>
      <c r="AF63" s="174"/>
      <c r="AG63" s="174"/>
      <c r="AH63" s="16"/>
      <c r="AI63" s="16"/>
      <c r="AJ63" s="16"/>
      <c r="AK63" s="16"/>
      <c r="AL63" s="16"/>
      <c r="AM63" s="16"/>
      <c r="AN63" s="14"/>
      <c r="AO63" s="14"/>
      <c r="AP63" s="14"/>
      <c r="AQ63" s="654"/>
      <c r="AR63" s="654"/>
      <c r="AY63" s="79"/>
      <c r="AZ63" s="79"/>
    </row>
    <row r="64" spans="1:52" s="3" customFormat="1" ht="15.6" customHeight="1" x14ac:dyDescent="0.15">
      <c r="A64" s="56" t="s">
        <v>110</v>
      </c>
      <c r="B64" s="24"/>
      <c r="C64" s="24"/>
      <c r="D64" s="24"/>
      <c r="E64" s="24"/>
      <c r="F64" s="24"/>
      <c r="G64" s="47" t="s">
        <v>149</v>
      </c>
      <c r="H64" s="45"/>
      <c r="I64" s="45"/>
      <c r="J64" s="45"/>
      <c r="K64" s="45"/>
      <c r="L64" s="45"/>
      <c r="M64" s="45"/>
      <c r="N64" s="45"/>
      <c r="O64" s="36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157" t="s">
        <v>40</v>
      </c>
      <c r="AH64" s="16"/>
      <c r="AI64" s="16"/>
      <c r="AJ64" s="16"/>
      <c r="AK64" s="16"/>
      <c r="AL64" s="16"/>
      <c r="AM64" s="16"/>
      <c r="AN64" s="16"/>
      <c r="AO64" s="16"/>
      <c r="AP64" s="16"/>
      <c r="AQ64" s="654"/>
      <c r="AR64" s="654"/>
      <c r="AS64" s="16"/>
      <c r="AT64" s="16"/>
      <c r="AU64" s="16"/>
      <c r="AY64" s="79"/>
      <c r="AZ64" s="79"/>
    </row>
    <row r="65" spans="1:52" s="3" customFormat="1" ht="15.6" customHeight="1" x14ac:dyDescent="0.15">
      <c r="A65" s="49"/>
      <c r="B65" s="678" t="s">
        <v>25</v>
      </c>
      <c r="C65" s="679"/>
      <c r="D65" s="680"/>
      <c r="E65" s="684" t="s">
        <v>41</v>
      </c>
      <c r="F65" s="685"/>
      <c r="G65" s="686"/>
      <c r="H65" s="684" t="s">
        <v>42</v>
      </c>
      <c r="I65" s="685"/>
      <c r="J65" s="686"/>
      <c r="K65" s="684" t="s">
        <v>43</v>
      </c>
      <c r="L65" s="685"/>
      <c r="M65" s="690" t="s">
        <v>44</v>
      </c>
      <c r="N65" s="690"/>
      <c r="O65" s="690" t="s">
        <v>45</v>
      </c>
      <c r="P65" s="690"/>
      <c r="Q65" s="690"/>
      <c r="R65" s="684" t="s">
        <v>46</v>
      </c>
      <c r="S65" s="686"/>
      <c r="T65" s="684" t="s">
        <v>47</v>
      </c>
      <c r="U65" s="686"/>
      <c r="V65" s="690" t="s">
        <v>48</v>
      </c>
      <c r="W65" s="690"/>
      <c r="X65" s="690" t="s">
        <v>112</v>
      </c>
      <c r="Y65" s="690"/>
      <c r="Z65" s="684" t="s">
        <v>113</v>
      </c>
      <c r="AA65" s="685"/>
      <c r="AB65" s="686"/>
      <c r="AC65" s="697" t="s">
        <v>128</v>
      </c>
      <c r="AD65" s="698"/>
      <c r="AE65" s="684" t="s">
        <v>82</v>
      </c>
      <c r="AF65" s="685"/>
      <c r="AG65" s="686"/>
      <c r="AH65" s="16"/>
      <c r="AI65" s="16"/>
      <c r="AJ65" s="16"/>
      <c r="AK65" s="16"/>
      <c r="AL65" s="16"/>
      <c r="AM65" s="16"/>
      <c r="AN65" s="16"/>
      <c r="AO65" s="16"/>
      <c r="AP65" s="16"/>
      <c r="AQ65" s="654"/>
      <c r="AR65" s="654"/>
      <c r="AS65" s="16"/>
      <c r="AT65" s="16"/>
      <c r="AU65" s="16"/>
      <c r="AY65" s="79"/>
      <c r="AZ65" s="79"/>
    </row>
    <row r="66" spans="1:52" s="3" customFormat="1" ht="15.6" customHeight="1" x14ac:dyDescent="0.15">
      <c r="A66" s="49"/>
      <c r="B66" s="681"/>
      <c r="C66" s="682"/>
      <c r="D66" s="683"/>
      <c r="E66" s="687"/>
      <c r="F66" s="688"/>
      <c r="G66" s="689"/>
      <c r="H66" s="687"/>
      <c r="I66" s="688"/>
      <c r="J66" s="689"/>
      <c r="K66" s="687"/>
      <c r="L66" s="688"/>
      <c r="M66" s="691"/>
      <c r="N66" s="691"/>
      <c r="O66" s="691"/>
      <c r="P66" s="691"/>
      <c r="Q66" s="691"/>
      <c r="R66" s="687"/>
      <c r="S66" s="689"/>
      <c r="T66" s="687"/>
      <c r="U66" s="689"/>
      <c r="V66" s="691"/>
      <c r="W66" s="691"/>
      <c r="X66" s="691"/>
      <c r="Y66" s="691"/>
      <c r="Z66" s="687"/>
      <c r="AA66" s="688"/>
      <c r="AB66" s="689"/>
      <c r="AC66" s="699"/>
      <c r="AD66" s="700"/>
      <c r="AE66" s="687"/>
      <c r="AF66" s="688"/>
      <c r="AG66" s="689"/>
      <c r="AH66" s="16"/>
      <c r="AI66" s="16"/>
      <c r="AJ66" s="16"/>
      <c r="AK66" s="16"/>
      <c r="AL66" s="16"/>
      <c r="AM66" s="16"/>
      <c r="AN66" s="16"/>
      <c r="AO66" s="16"/>
      <c r="AP66" s="16"/>
      <c r="AQ66" s="654"/>
      <c r="AR66" s="654"/>
      <c r="AS66" s="16"/>
      <c r="AT66" s="16"/>
      <c r="AU66" s="16"/>
      <c r="AY66" s="79"/>
      <c r="AZ66" s="79"/>
    </row>
    <row r="67" spans="1:52" s="14" customFormat="1" ht="15.6" customHeight="1" x14ac:dyDescent="0.15">
      <c r="A67" s="183"/>
      <c r="B67" s="701" t="s">
        <v>86</v>
      </c>
      <c r="C67" s="702"/>
      <c r="D67" s="703"/>
      <c r="E67" s="667">
        <v>2218</v>
      </c>
      <c r="F67" s="668"/>
      <c r="G67" s="669"/>
      <c r="H67" s="667">
        <v>2323</v>
      </c>
      <c r="I67" s="668"/>
      <c r="J67" s="669"/>
      <c r="K67" s="667">
        <v>119</v>
      </c>
      <c r="L67" s="668"/>
      <c r="M67" s="673">
        <v>591</v>
      </c>
      <c r="N67" s="673"/>
      <c r="O67" s="673">
        <v>2137</v>
      </c>
      <c r="P67" s="673"/>
      <c r="Q67" s="673"/>
      <c r="R67" s="667">
        <v>0</v>
      </c>
      <c r="S67" s="669"/>
      <c r="T67" s="667">
        <v>62</v>
      </c>
      <c r="U67" s="669"/>
      <c r="V67" s="673">
        <v>12</v>
      </c>
      <c r="W67" s="673"/>
      <c r="X67" s="715">
        <v>11</v>
      </c>
      <c r="Y67" s="715"/>
      <c r="Z67" s="717">
        <v>0</v>
      </c>
      <c r="AA67" s="718"/>
      <c r="AB67" s="719"/>
      <c r="AC67" s="717">
        <v>0</v>
      </c>
      <c r="AD67" s="719"/>
      <c r="AE67" s="667">
        <f>SUM(E67:AD68)</f>
        <v>7473</v>
      </c>
      <c r="AF67" s="668"/>
      <c r="AG67" s="669"/>
      <c r="AH67" s="541"/>
      <c r="AI67" s="541"/>
      <c r="AJ67" s="541"/>
      <c r="AK67" s="541"/>
      <c r="AL67" s="541"/>
      <c r="AM67" s="541"/>
      <c r="AN67" s="541"/>
      <c r="AO67" s="541"/>
      <c r="AP67" s="541"/>
      <c r="AQ67" s="654"/>
      <c r="AR67" s="654"/>
      <c r="AS67" s="183"/>
      <c r="AT67" s="183"/>
      <c r="AU67" s="183"/>
      <c r="AY67" s="80"/>
      <c r="AZ67" s="80"/>
    </row>
    <row r="68" spans="1:52" s="14" customFormat="1" ht="15.6" customHeight="1" x14ac:dyDescent="0.15">
      <c r="A68" s="183"/>
      <c r="B68" s="711"/>
      <c r="C68" s="712"/>
      <c r="D68" s="713"/>
      <c r="E68" s="670"/>
      <c r="F68" s="671"/>
      <c r="G68" s="672"/>
      <c r="H68" s="670"/>
      <c r="I68" s="671"/>
      <c r="J68" s="672"/>
      <c r="K68" s="670"/>
      <c r="L68" s="671"/>
      <c r="M68" s="714"/>
      <c r="N68" s="714"/>
      <c r="O68" s="714"/>
      <c r="P68" s="714"/>
      <c r="Q68" s="714"/>
      <c r="R68" s="670"/>
      <c r="S68" s="672"/>
      <c r="T68" s="670"/>
      <c r="U68" s="672"/>
      <c r="V68" s="714"/>
      <c r="W68" s="714"/>
      <c r="X68" s="726"/>
      <c r="Y68" s="726"/>
      <c r="Z68" s="727"/>
      <c r="AA68" s="728"/>
      <c r="AB68" s="729"/>
      <c r="AC68" s="727"/>
      <c r="AD68" s="729"/>
      <c r="AE68" s="670"/>
      <c r="AF68" s="671"/>
      <c r="AG68" s="672"/>
      <c r="AH68" s="541"/>
      <c r="AI68" s="541"/>
      <c r="AJ68" s="541"/>
      <c r="AK68" s="541"/>
      <c r="AL68" s="541"/>
      <c r="AM68" s="541"/>
      <c r="AN68" s="541"/>
      <c r="AO68" s="541"/>
      <c r="AP68" s="541"/>
      <c r="AQ68" s="654"/>
      <c r="AR68" s="654"/>
      <c r="AS68" s="183"/>
      <c r="AT68" s="183"/>
      <c r="AU68" s="183"/>
      <c r="AY68" s="80"/>
      <c r="AZ68" s="80"/>
    </row>
    <row r="69" spans="1:52" s="14" customFormat="1" ht="15.6" customHeight="1" x14ac:dyDescent="0.15">
      <c r="A69" s="183"/>
      <c r="B69" s="701" t="s">
        <v>87</v>
      </c>
      <c r="C69" s="702"/>
      <c r="D69" s="703"/>
      <c r="E69" s="667">
        <v>2862</v>
      </c>
      <c r="F69" s="668"/>
      <c r="G69" s="669"/>
      <c r="H69" s="667">
        <v>2977</v>
      </c>
      <c r="I69" s="668"/>
      <c r="J69" s="669"/>
      <c r="K69" s="667">
        <v>179</v>
      </c>
      <c r="L69" s="668"/>
      <c r="M69" s="673">
        <v>613</v>
      </c>
      <c r="N69" s="673"/>
      <c r="O69" s="673">
        <v>2654</v>
      </c>
      <c r="P69" s="673"/>
      <c r="Q69" s="673"/>
      <c r="R69" s="667">
        <v>0</v>
      </c>
      <c r="S69" s="669"/>
      <c r="T69" s="667">
        <v>74</v>
      </c>
      <c r="U69" s="669"/>
      <c r="V69" s="673">
        <v>12</v>
      </c>
      <c r="W69" s="673"/>
      <c r="X69" s="715">
        <v>11</v>
      </c>
      <c r="Y69" s="715"/>
      <c r="Z69" s="717">
        <v>0</v>
      </c>
      <c r="AA69" s="718"/>
      <c r="AB69" s="719"/>
      <c r="AC69" s="717">
        <v>0</v>
      </c>
      <c r="AD69" s="719"/>
      <c r="AE69" s="723">
        <f>SUM(E69:AC70)</f>
        <v>9382</v>
      </c>
      <c r="AF69" s="724"/>
      <c r="AG69" s="725"/>
      <c r="AH69" s="541"/>
      <c r="AI69" s="541"/>
      <c r="AJ69" s="541"/>
      <c r="AK69" s="541"/>
      <c r="AL69" s="541"/>
      <c r="AM69" s="541"/>
      <c r="AN69" s="541"/>
      <c r="AO69" s="541"/>
      <c r="AP69" s="541"/>
      <c r="AQ69" s="86"/>
      <c r="AR69" s="86"/>
      <c r="AS69" s="183"/>
      <c r="AT69" s="183"/>
      <c r="AU69" s="183"/>
      <c r="AY69" s="80"/>
      <c r="AZ69" s="80"/>
    </row>
    <row r="70" spans="1:52" s="14" customFormat="1" ht="15.6" customHeight="1" thickBot="1" x14ac:dyDescent="0.2">
      <c r="A70" s="16"/>
      <c r="B70" s="704"/>
      <c r="C70" s="705"/>
      <c r="D70" s="706"/>
      <c r="E70" s="707"/>
      <c r="F70" s="708"/>
      <c r="G70" s="709"/>
      <c r="H70" s="707"/>
      <c r="I70" s="708"/>
      <c r="J70" s="709"/>
      <c r="K70" s="707"/>
      <c r="L70" s="708"/>
      <c r="M70" s="710"/>
      <c r="N70" s="710"/>
      <c r="O70" s="710"/>
      <c r="P70" s="710"/>
      <c r="Q70" s="710"/>
      <c r="R70" s="707"/>
      <c r="S70" s="709"/>
      <c r="T70" s="707"/>
      <c r="U70" s="709"/>
      <c r="V70" s="710"/>
      <c r="W70" s="710"/>
      <c r="X70" s="716"/>
      <c r="Y70" s="716"/>
      <c r="Z70" s="720"/>
      <c r="AA70" s="721"/>
      <c r="AB70" s="722"/>
      <c r="AC70" s="720"/>
      <c r="AD70" s="722"/>
      <c r="AE70" s="707"/>
      <c r="AF70" s="708"/>
      <c r="AG70" s="709"/>
      <c r="AH70" s="16"/>
      <c r="AI70" s="16"/>
      <c r="AJ70" s="16"/>
      <c r="AK70" s="16"/>
      <c r="AL70" s="16"/>
      <c r="AM70" s="16"/>
      <c r="AN70" s="16"/>
      <c r="AO70" s="16"/>
      <c r="AP70" s="16"/>
      <c r="AQ70" s="87"/>
      <c r="AR70" s="87"/>
      <c r="AS70" s="16"/>
      <c r="AT70" s="16"/>
      <c r="AU70" s="16"/>
      <c r="AY70" s="80"/>
      <c r="AZ70" s="80"/>
    </row>
    <row r="71" spans="1:52" s="14" customFormat="1" ht="15.6" customHeight="1" thickTop="1" x14ac:dyDescent="0.15">
      <c r="A71" s="16"/>
      <c r="B71" s="874" t="s">
        <v>159</v>
      </c>
      <c r="C71" s="875"/>
      <c r="D71" s="876"/>
      <c r="E71" s="847">
        <v>1797333</v>
      </c>
      <c r="F71" s="848"/>
      <c r="G71" s="849"/>
      <c r="H71" s="847">
        <v>1033415</v>
      </c>
      <c r="I71" s="848"/>
      <c r="J71" s="849"/>
      <c r="K71" s="847">
        <v>16563</v>
      </c>
      <c r="L71" s="848"/>
      <c r="M71" s="855">
        <v>196035</v>
      </c>
      <c r="N71" s="855"/>
      <c r="O71" s="855">
        <v>2794624</v>
      </c>
      <c r="P71" s="855"/>
      <c r="Q71" s="855"/>
      <c r="R71" s="847">
        <v>245</v>
      </c>
      <c r="S71" s="849"/>
      <c r="T71" s="847">
        <v>10120</v>
      </c>
      <c r="U71" s="849"/>
      <c r="V71" s="855">
        <v>17768</v>
      </c>
      <c r="W71" s="855"/>
      <c r="X71" s="855">
        <v>26860</v>
      </c>
      <c r="Y71" s="855"/>
      <c r="Z71" s="847">
        <v>1166</v>
      </c>
      <c r="AA71" s="848"/>
      <c r="AB71" s="849"/>
      <c r="AC71" s="870">
        <v>800</v>
      </c>
      <c r="AD71" s="871"/>
      <c r="AE71" s="847">
        <f>SUM(E71:AD72)</f>
        <v>5894929</v>
      </c>
      <c r="AF71" s="848"/>
      <c r="AG71" s="849"/>
      <c r="AH71" s="16"/>
      <c r="AI71" s="537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Y71" s="80"/>
      <c r="AZ71" s="80"/>
    </row>
    <row r="72" spans="1:52" s="14" customFormat="1" ht="15.6" customHeight="1" x14ac:dyDescent="0.15">
      <c r="A72" s="16"/>
      <c r="B72" s="877"/>
      <c r="C72" s="878"/>
      <c r="D72" s="879"/>
      <c r="E72" s="850"/>
      <c r="F72" s="851"/>
      <c r="G72" s="852"/>
      <c r="H72" s="850"/>
      <c r="I72" s="851"/>
      <c r="J72" s="852"/>
      <c r="K72" s="853"/>
      <c r="L72" s="854"/>
      <c r="M72" s="856"/>
      <c r="N72" s="856"/>
      <c r="O72" s="856"/>
      <c r="P72" s="856"/>
      <c r="Q72" s="856"/>
      <c r="R72" s="850"/>
      <c r="S72" s="852"/>
      <c r="T72" s="850"/>
      <c r="U72" s="852"/>
      <c r="V72" s="856"/>
      <c r="W72" s="856"/>
      <c r="X72" s="856"/>
      <c r="Y72" s="856"/>
      <c r="Z72" s="853"/>
      <c r="AA72" s="854"/>
      <c r="AB72" s="864"/>
      <c r="AC72" s="872"/>
      <c r="AD72" s="873"/>
      <c r="AE72" s="853"/>
      <c r="AF72" s="854"/>
      <c r="AG72" s="864"/>
      <c r="AH72" s="16"/>
      <c r="AI72" s="537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Y72" s="80"/>
      <c r="AZ72" s="80"/>
    </row>
    <row r="73" spans="1:52" s="14" customFormat="1" ht="15.6" customHeight="1" x14ac:dyDescent="0.15">
      <c r="A73" s="16"/>
      <c r="B73" s="865" t="s">
        <v>30</v>
      </c>
      <c r="C73" s="866"/>
      <c r="D73" s="867"/>
      <c r="E73" s="858">
        <v>0.3049</v>
      </c>
      <c r="F73" s="859"/>
      <c r="G73" s="860"/>
      <c r="H73" s="858">
        <f>H71/AE71</f>
        <v>0.17530575855960268</v>
      </c>
      <c r="I73" s="859"/>
      <c r="J73" s="860"/>
      <c r="K73" s="858">
        <f>K71/AE71</f>
        <v>2.8097030515549892E-3</v>
      </c>
      <c r="L73" s="860"/>
      <c r="M73" s="858">
        <f>M71/AE71</f>
        <v>3.3254853451161158E-2</v>
      </c>
      <c r="N73" s="859"/>
      <c r="O73" s="858">
        <f>O71/AE71</f>
        <v>0.47407254608155586</v>
      </c>
      <c r="P73" s="859"/>
      <c r="Q73" s="860"/>
      <c r="R73" s="868">
        <f>R71/AE71</f>
        <v>4.1561145180883433E-5</v>
      </c>
      <c r="S73" s="869"/>
      <c r="T73" s="868">
        <f>T71/AE71</f>
        <v>1.7167297519613892E-3</v>
      </c>
      <c r="U73" s="869"/>
      <c r="V73" s="857">
        <f>V71/AE71</f>
        <v>3.0141160309140281E-3</v>
      </c>
      <c r="W73" s="857"/>
      <c r="X73" s="857">
        <f>X71/AE71</f>
        <v>4.5564586104429759E-3</v>
      </c>
      <c r="Y73" s="857"/>
      <c r="Z73" s="858">
        <f>Z71/AE71</f>
        <v>1.9779712359555137E-4</v>
      </c>
      <c r="AA73" s="859"/>
      <c r="AB73" s="860"/>
      <c r="AC73" s="858">
        <f>AC71/AE71</f>
        <v>1.3570986181512959E-4</v>
      </c>
      <c r="AD73" s="860"/>
      <c r="AE73" s="861">
        <v>1</v>
      </c>
      <c r="AF73" s="862"/>
      <c r="AG73" s="863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Y73" s="80"/>
      <c r="AZ73" s="80"/>
    </row>
    <row r="74" spans="1:52" s="3" customFormat="1" ht="15.6" customHeight="1" x14ac:dyDescent="0.15">
      <c r="A74" s="49"/>
      <c r="B74" s="182"/>
      <c r="C74" s="179"/>
      <c r="D74" s="179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70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Y74" s="79"/>
      <c r="AZ74" s="79"/>
    </row>
    <row r="75" spans="1:52" s="3" customFormat="1" ht="15.6" customHeight="1" x14ac:dyDescent="0.15">
      <c r="A75" s="50" t="s">
        <v>71</v>
      </c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9" t="s">
        <v>33</v>
      </c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Y75" s="79"/>
      <c r="AZ75" s="79"/>
    </row>
    <row r="76" spans="1:52" s="3" customFormat="1" ht="15.6" customHeight="1" x14ac:dyDescent="0.15">
      <c r="A76" s="49"/>
      <c r="B76" s="730" t="s">
        <v>34</v>
      </c>
      <c r="C76" s="730"/>
      <c r="D76" s="730"/>
      <c r="E76" s="730"/>
      <c r="F76" s="730"/>
      <c r="G76" s="730"/>
      <c r="H76" s="730" t="s">
        <v>35</v>
      </c>
      <c r="I76" s="730"/>
      <c r="J76" s="730"/>
      <c r="K76" s="730"/>
      <c r="L76" s="730"/>
      <c r="M76" s="730"/>
      <c r="N76" s="730"/>
      <c r="O76" s="730"/>
      <c r="P76" s="730"/>
      <c r="Q76" s="730"/>
      <c r="R76" s="730"/>
      <c r="S76" s="730"/>
      <c r="T76" s="730"/>
      <c r="U76" s="730"/>
      <c r="V76" s="730"/>
      <c r="W76" s="730"/>
      <c r="X76" s="730"/>
      <c r="Y76" s="730"/>
      <c r="Z76" s="549" t="s">
        <v>36</v>
      </c>
      <c r="AA76" s="550"/>
      <c r="AB76" s="550"/>
      <c r="AC76" s="550"/>
      <c r="AD76" s="550"/>
      <c r="AE76" s="550"/>
      <c r="AF76" s="550"/>
      <c r="AG76" s="551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Y76" s="79"/>
      <c r="AZ76" s="79"/>
    </row>
    <row r="77" spans="1:52" s="3" customFormat="1" ht="15.6" customHeight="1" x14ac:dyDescent="0.15">
      <c r="A77" s="49"/>
      <c r="B77" s="730"/>
      <c r="C77" s="730"/>
      <c r="D77" s="730"/>
      <c r="E77" s="730"/>
      <c r="F77" s="730"/>
      <c r="G77" s="730"/>
      <c r="H77" s="730" t="s">
        <v>37</v>
      </c>
      <c r="I77" s="730"/>
      <c r="J77" s="730"/>
      <c r="K77" s="730"/>
      <c r="L77" s="730"/>
      <c r="M77" s="730"/>
      <c r="N77" s="730" t="s">
        <v>38</v>
      </c>
      <c r="O77" s="730"/>
      <c r="P77" s="730"/>
      <c r="Q77" s="730"/>
      <c r="R77" s="730"/>
      <c r="S77" s="730"/>
      <c r="T77" s="730" t="s">
        <v>39</v>
      </c>
      <c r="U77" s="730"/>
      <c r="V77" s="730"/>
      <c r="W77" s="730"/>
      <c r="X77" s="730"/>
      <c r="Y77" s="730"/>
      <c r="Z77" s="552"/>
      <c r="AA77" s="553"/>
      <c r="AB77" s="553"/>
      <c r="AC77" s="553"/>
      <c r="AD77" s="553"/>
      <c r="AE77" s="553"/>
      <c r="AF77" s="553"/>
      <c r="AG77" s="554"/>
      <c r="AH77" s="16"/>
      <c r="AI77" s="16"/>
      <c r="AJ77" s="16"/>
      <c r="AK77" s="16"/>
      <c r="AL77" s="14"/>
      <c r="AM77" s="14"/>
      <c r="AN77" s="14"/>
      <c r="AO77" s="14"/>
      <c r="AP77" s="14"/>
      <c r="AQ77" s="14"/>
      <c r="AY77" s="79"/>
      <c r="AZ77" s="79"/>
    </row>
    <row r="78" spans="1:52" s="3" customFormat="1" ht="15.6" customHeight="1" x14ac:dyDescent="0.15">
      <c r="A78" s="49"/>
      <c r="B78" s="731" t="s">
        <v>136</v>
      </c>
      <c r="C78" s="732"/>
      <c r="D78" s="732"/>
      <c r="E78" s="732"/>
      <c r="F78" s="732"/>
      <c r="G78" s="733"/>
      <c r="H78" s="734">
        <v>5190000</v>
      </c>
      <c r="I78" s="735"/>
      <c r="J78" s="735"/>
      <c r="K78" s="735"/>
      <c r="L78" s="735"/>
      <c r="M78" s="736"/>
      <c r="N78" s="737">
        <v>210000</v>
      </c>
      <c r="O78" s="738"/>
      <c r="P78" s="738"/>
      <c r="Q78" s="738"/>
      <c r="R78" s="738"/>
      <c r="S78" s="739"/>
      <c r="T78" s="734">
        <f t="shared" ref="T78:T81" si="1">SUM(H78:S78)</f>
        <v>5400000</v>
      </c>
      <c r="U78" s="735"/>
      <c r="V78" s="735"/>
      <c r="W78" s="735"/>
      <c r="X78" s="735"/>
      <c r="Y78" s="736"/>
      <c r="Z78" s="740">
        <v>5385302</v>
      </c>
      <c r="AA78" s="741"/>
      <c r="AB78" s="741"/>
      <c r="AC78" s="741"/>
      <c r="AD78" s="741"/>
      <c r="AE78" s="741"/>
      <c r="AF78" s="741"/>
      <c r="AG78" s="742"/>
      <c r="AH78" s="16"/>
      <c r="AI78" s="16"/>
      <c r="AJ78" s="16"/>
      <c r="AK78" s="16"/>
      <c r="AL78" s="14"/>
      <c r="AM78" s="14"/>
      <c r="AN78" s="14"/>
      <c r="AO78" s="14"/>
      <c r="AP78" s="14"/>
      <c r="AQ78" s="14"/>
      <c r="AY78" s="79"/>
      <c r="AZ78" s="79"/>
    </row>
    <row r="79" spans="1:52" s="3" customFormat="1" ht="15.6" customHeight="1" x14ac:dyDescent="0.15">
      <c r="A79" s="49"/>
      <c r="B79" s="731" t="s">
        <v>137</v>
      </c>
      <c r="C79" s="732"/>
      <c r="D79" s="732"/>
      <c r="E79" s="732"/>
      <c r="F79" s="732"/>
      <c r="G79" s="733"/>
      <c r="H79" s="734">
        <v>5300000</v>
      </c>
      <c r="I79" s="735"/>
      <c r="J79" s="735"/>
      <c r="K79" s="735"/>
      <c r="L79" s="735"/>
      <c r="M79" s="736"/>
      <c r="N79" s="737">
        <v>346000</v>
      </c>
      <c r="O79" s="738"/>
      <c r="P79" s="738"/>
      <c r="Q79" s="738"/>
      <c r="R79" s="738"/>
      <c r="S79" s="739"/>
      <c r="T79" s="734">
        <f t="shared" si="1"/>
        <v>5646000</v>
      </c>
      <c r="U79" s="735"/>
      <c r="V79" s="735"/>
      <c r="W79" s="735"/>
      <c r="X79" s="735"/>
      <c r="Y79" s="736"/>
      <c r="Z79" s="740">
        <v>5636644</v>
      </c>
      <c r="AA79" s="741"/>
      <c r="AB79" s="741"/>
      <c r="AC79" s="741"/>
      <c r="AD79" s="741"/>
      <c r="AE79" s="741"/>
      <c r="AF79" s="741"/>
      <c r="AG79" s="742"/>
      <c r="AH79" s="16"/>
      <c r="AI79" s="16"/>
      <c r="AJ79" s="16"/>
      <c r="AK79" s="16"/>
      <c r="AL79" s="14"/>
      <c r="AM79" s="14"/>
      <c r="AN79" s="14"/>
      <c r="AO79" s="14"/>
      <c r="AP79" s="14"/>
      <c r="AQ79" s="14"/>
      <c r="AY79" s="79"/>
      <c r="AZ79" s="79"/>
    </row>
    <row r="80" spans="1:52" s="3" customFormat="1" ht="15.6" customHeight="1" x14ac:dyDescent="0.15">
      <c r="A80" s="49"/>
      <c r="B80" s="731" t="s">
        <v>138</v>
      </c>
      <c r="C80" s="732"/>
      <c r="D80" s="732"/>
      <c r="E80" s="732"/>
      <c r="F80" s="732"/>
      <c r="G80" s="733"/>
      <c r="H80" s="734">
        <v>5310000</v>
      </c>
      <c r="I80" s="735"/>
      <c r="J80" s="735"/>
      <c r="K80" s="735"/>
      <c r="L80" s="735"/>
      <c r="M80" s="736"/>
      <c r="N80" s="743">
        <v>197000</v>
      </c>
      <c r="O80" s="744"/>
      <c r="P80" s="744"/>
      <c r="Q80" s="744"/>
      <c r="R80" s="744"/>
      <c r="S80" s="745"/>
      <c r="T80" s="734">
        <f t="shared" si="1"/>
        <v>5507000</v>
      </c>
      <c r="U80" s="735"/>
      <c r="V80" s="735"/>
      <c r="W80" s="735"/>
      <c r="X80" s="735"/>
      <c r="Y80" s="736"/>
      <c r="Z80" s="734">
        <v>5500325</v>
      </c>
      <c r="AA80" s="735"/>
      <c r="AB80" s="735"/>
      <c r="AC80" s="735"/>
      <c r="AD80" s="735"/>
      <c r="AE80" s="735"/>
      <c r="AF80" s="735"/>
      <c r="AG80" s="736"/>
      <c r="AH80" s="16"/>
      <c r="AI80" s="16"/>
      <c r="AJ80" s="16"/>
      <c r="AK80" s="16"/>
      <c r="AL80" s="16"/>
      <c r="AM80" s="16"/>
      <c r="AN80" s="16"/>
      <c r="AO80" s="16"/>
      <c r="AP80" s="14"/>
      <c r="AQ80" s="14"/>
      <c r="AY80" s="79"/>
      <c r="AZ80" s="79"/>
    </row>
    <row r="81" spans="1:54" s="3" customFormat="1" ht="15.6" customHeight="1" x14ac:dyDescent="0.15">
      <c r="A81" s="49"/>
      <c r="B81" s="746" t="s">
        <v>132</v>
      </c>
      <c r="C81" s="746"/>
      <c r="D81" s="746"/>
      <c r="E81" s="746"/>
      <c r="F81" s="746"/>
      <c r="G81" s="746"/>
      <c r="H81" s="747">
        <v>5510000</v>
      </c>
      <c r="I81" s="748"/>
      <c r="J81" s="748"/>
      <c r="K81" s="748"/>
      <c r="L81" s="748"/>
      <c r="M81" s="749"/>
      <c r="N81" s="743">
        <v>388000</v>
      </c>
      <c r="O81" s="744"/>
      <c r="P81" s="744"/>
      <c r="Q81" s="744"/>
      <c r="R81" s="744"/>
      <c r="S81" s="745"/>
      <c r="T81" s="747">
        <f t="shared" si="1"/>
        <v>5898000</v>
      </c>
      <c r="U81" s="748"/>
      <c r="V81" s="748"/>
      <c r="W81" s="748"/>
      <c r="X81" s="748"/>
      <c r="Y81" s="749"/>
      <c r="Z81" s="747">
        <v>5894929</v>
      </c>
      <c r="AA81" s="748"/>
      <c r="AB81" s="748"/>
      <c r="AC81" s="748"/>
      <c r="AD81" s="748"/>
      <c r="AE81" s="748"/>
      <c r="AF81" s="748"/>
      <c r="AG81" s="749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Y81" s="79"/>
      <c r="AZ81" s="79"/>
    </row>
    <row r="82" spans="1:54" s="14" customFormat="1" ht="15.6" customHeight="1" x14ac:dyDescent="0.15">
      <c r="A82" s="16"/>
      <c r="B82" s="746" t="s">
        <v>145</v>
      </c>
      <c r="C82" s="746"/>
      <c r="D82" s="746"/>
      <c r="E82" s="746"/>
      <c r="F82" s="746"/>
      <c r="G82" s="746"/>
      <c r="H82" s="747">
        <v>5596000</v>
      </c>
      <c r="I82" s="748"/>
      <c r="J82" s="748"/>
      <c r="K82" s="748"/>
      <c r="L82" s="748"/>
      <c r="M82" s="749"/>
      <c r="N82" s="743">
        <v>448000</v>
      </c>
      <c r="O82" s="744"/>
      <c r="P82" s="744"/>
      <c r="Q82" s="744"/>
      <c r="R82" s="744"/>
      <c r="S82" s="745"/>
      <c r="T82" s="747">
        <f>SUM(H82:S82)</f>
        <v>6044000</v>
      </c>
      <c r="U82" s="748"/>
      <c r="V82" s="748"/>
      <c r="W82" s="748"/>
      <c r="X82" s="748"/>
      <c r="Y82" s="749"/>
      <c r="Z82" s="844"/>
      <c r="AA82" s="845"/>
      <c r="AB82" s="845"/>
      <c r="AC82" s="845"/>
      <c r="AD82" s="845"/>
      <c r="AE82" s="845"/>
      <c r="AF82" s="845"/>
      <c r="AG82" s="84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Y82" s="80"/>
      <c r="AZ82" s="80"/>
    </row>
    <row r="83" spans="1:54" s="3" customFormat="1" ht="15.6" customHeight="1" x14ac:dyDescent="0.15">
      <c r="A83" s="49"/>
      <c r="B83" s="179"/>
      <c r="C83" s="179"/>
      <c r="D83" s="179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Y83" s="79"/>
      <c r="AZ83" s="79"/>
    </row>
    <row r="84" spans="1:54" s="1" customFormat="1" ht="15.6" customHeight="1" x14ac:dyDescent="0.15">
      <c r="A84" s="49" t="s">
        <v>49</v>
      </c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2" t="s">
        <v>106</v>
      </c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Y84" s="167"/>
      <c r="AZ84" s="167"/>
    </row>
    <row r="85" spans="1:54" s="1" customFormat="1" ht="15.6" customHeight="1" x14ac:dyDescent="0.15">
      <c r="A85" s="49"/>
      <c r="B85" s="730" t="s">
        <v>78</v>
      </c>
      <c r="C85" s="730"/>
      <c r="D85" s="730"/>
      <c r="E85" s="730"/>
      <c r="F85" s="730"/>
      <c r="G85" s="751" t="s">
        <v>127</v>
      </c>
      <c r="H85" s="752"/>
      <c r="I85" s="752"/>
      <c r="J85" s="752"/>
      <c r="K85" s="753"/>
      <c r="L85" s="751" t="s">
        <v>138</v>
      </c>
      <c r="M85" s="752"/>
      <c r="N85" s="752"/>
      <c r="O85" s="752"/>
      <c r="P85" s="753"/>
      <c r="Q85" s="751" t="s">
        <v>132</v>
      </c>
      <c r="R85" s="752"/>
      <c r="S85" s="752"/>
      <c r="T85" s="752"/>
      <c r="U85" s="753"/>
      <c r="V85" s="754" t="s">
        <v>145</v>
      </c>
      <c r="W85" s="730"/>
      <c r="X85" s="730"/>
      <c r="Y85" s="730"/>
      <c r="Z85" s="730"/>
      <c r="AA85" s="754" t="s">
        <v>177</v>
      </c>
      <c r="AB85" s="730"/>
      <c r="AC85" s="730"/>
      <c r="AD85" s="730"/>
      <c r="AE85" s="730"/>
      <c r="AF85" s="16"/>
      <c r="AG85" s="16"/>
      <c r="AH85" s="16"/>
      <c r="AI85" s="13"/>
      <c r="AJ85" s="13"/>
      <c r="AK85" s="13"/>
      <c r="AL85" s="13"/>
      <c r="AM85" s="13"/>
      <c r="AN85" s="13"/>
      <c r="AO85" s="13"/>
      <c r="AP85" s="13"/>
      <c r="AQ85" s="13"/>
      <c r="AY85" s="167"/>
      <c r="AZ85" s="167"/>
    </row>
    <row r="86" spans="1:54" s="1" customFormat="1" ht="15.6" customHeight="1" x14ac:dyDescent="0.15">
      <c r="A86" s="49"/>
      <c r="B86" s="756" t="s">
        <v>77</v>
      </c>
      <c r="C86" s="756"/>
      <c r="D86" s="756"/>
      <c r="E86" s="756"/>
      <c r="F86" s="756"/>
      <c r="G86" s="757">
        <f>990+98</f>
        <v>1088</v>
      </c>
      <c r="H86" s="758"/>
      <c r="I86" s="758"/>
      <c r="J86" s="758"/>
      <c r="K86" s="759"/>
      <c r="L86" s="757">
        <v>1174</v>
      </c>
      <c r="M86" s="758"/>
      <c r="N86" s="758"/>
      <c r="O86" s="758"/>
      <c r="P86" s="759"/>
      <c r="Q86" s="757">
        <v>1207</v>
      </c>
      <c r="R86" s="758"/>
      <c r="S86" s="758"/>
      <c r="T86" s="758"/>
      <c r="U86" s="759"/>
      <c r="V86" s="763">
        <v>1103</v>
      </c>
      <c r="W86" s="763"/>
      <c r="X86" s="763"/>
      <c r="Y86" s="763"/>
      <c r="Z86" s="763"/>
      <c r="AA86" s="764">
        <f>77+122</f>
        <v>199</v>
      </c>
      <c r="AB86" s="764"/>
      <c r="AC86" s="764"/>
      <c r="AD86" s="764"/>
      <c r="AE86" s="764"/>
      <c r="AF86" s="16"/>
      <c r="AG86" s="16"/>
      <c r="AH86" s="16"/>
      <c r="AI86" s="755"/>
      <c r="AJ86" s="755"/>
      <c r="AK86" s="755"/>
      <c r="AL86" s="13"/>
      <c r="AM86" s="13"/>
      <c r="AN86" s="13"/>
      <c r="AO86" s="13"/>
      <c r="AP86" s="13"/>
      <c r="AQ86" s="13"/>
      <c r="AY86" s="167"/>
      <c r="AZ86" s="167"/>
    </row>
    <row r="87" spans="1:54" s="1" customFormat="1" ht="15.6" customHeight="1" x14ac:dyDescent="0.15">
      <c r="A87" s="49"/>
      <c r="B87" s="756" t="s">
        <v>76</v>
      </c>
      <c r="C87" s="756"/>
      <c r="D87" s="756"/>
      <c r="E87" s="756"/>
      <c r="F87" s="756"/>
      <c r="G87" s="757">
        <v>91</v>
      </c>
      <c r="H87" s="758"/>
      <c r="I87" s="758"/>
      <c r="J87" s="758"/>
      <c r="K87" s="759"/>
      <c r="L87" s="757">
        <f>L86/12</f>
        <v>97.833333333333329</v>
      </c>
      <c r="M87" s="758"/>
      <c r="N87" s="758"/>
      <c r="O87" s="758"/>
      <c r="P87" s="759"/>
      <c r="Q87" s="757">
        <f>Q86/12</f>
        <v>100.58333333333333</v>
      </c>
      <c r="R87" s="758"/>
      <c r="S87" s="758"/>
      <c r="T87" s="758"/>
      <c r="U87" s="759"/>
      <c r="V87" s="757">
        <f>V86/12</f>
        <v>91.916666666666671</v>
      </c>
      <c r="W87" s="758"/>
      <c r="X87" s="758"/>
      <c r="Y87" s="758"/>
      <c r="Z87" s="759"/>
      <c r="AA87" s="760">
        <f>AA86/2</f>
        <v>99.5</v>
      </c>
      <c r="AB87" s="761"/>
      <c r="AC87" s="761"/>
      <c r="AD87" s="761"/>
      <c r="AE87" s="762"/>
      <c r="AF87" s="16"/>
      <c r="AG87" s="16"/>
      <c r="AH87" s="16"/>
      <c r="AI87" s="889"/>
      <c r="AJ87" s="13"/>
      <c r="AK87" s="13"/>
      <c r="AL87" s="13"/>
      <c r="AM87" s="13"/>
      <c r="AN87" s="13"/>
      <c r="AO87" s="13"/>
      <c r="AP87" s="13"/>
      <c r="AQ87" s="13"/>
      <c r="AY87" s="167"/>
      <c r="AZ87" s="167"/>
    </row>
    <row r="88" spans="1:54" s="1" customFormat="1" ht="15.6" customHeight="1" x14ac:dyDescent="0.15">
      <c r="A88" s="49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3"/>
      <c r="AJ88" s="13"/>
      <c r="AK88" s="13"/>
      <c r="AL88" s="13"/>
      <c r="AM88" s="13"/>
      <c r="AN88" s="13"/>
      <c r="AO88" s="13"/>
      <c r="AP88" s="13"/>
      <c r="AQ88" s="13"/>
      <c r="AY88" s="167"/>
      <c r="AZ88" s="167"/>
    </row>
    <row r="89" spans="1:54" s="1" customFormat="1" ht="15.6" customHeight="1" x14ac:dyDescent="0.15">
      <c r="A89" s="50" t="s">
        <v>63</v>
      </c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AA89" s="75" t="s">
        <v>106</v>
      </c>
      <c r="AB89" s="75"/>
      <c r="AC89" s="75"/>
      <c r="AD89" s="75"/>
      <c r="AE89" s="75"/>
      <c r="AF89" s="16"/>
      <c r="AG89" s="16"/>
      <c r="AH89" s="16"/>
      <c r="AI89" s="13"/>
      <c r="AJ89" s="13"/>
      <c r="AK89" s="13"/>
      <c r="AL89" s="13"/>
      <c r="AM89" s="13"/>
      <c r="AN89" s="13"/>
      <c r="AO89" s="13"/>
      <c r="AP89" s="13"/>
      <c r="AQ89" s="13"/>
      <c r="AY89" s="167"/>
      <c r="AZ89" s="167"/>
    </row>
    <row r="90" spans="1:54" s="1" customFormat="1" ht="15.6" customHeight="1" x14ac:dyDescent="0.15">
      <c r="A90" s="49"/>
      <c r="B90" s="765" t="s">
        <v>70</v>
      </c>
      <c r="C90" s="766"/>
      <c r="D90" s="767"/>
      <c r="E90" s="765" t="s">
        <v>50</v>
      </c>
      <c r="F90" s="766"/>
      <c r="G90" s="766"/>
      <c r="H90" s="766"/>
      <c r="I90" s="767"/>
      <c r="J90" s="751" t="s">
        <v>133</v>
      </c>
      <c r="K90" s="752"/>
      <c r="L90" s="752"/>
      <c r="M90" s="752"/>
      <c r="N90" s="752"/>
      <c r="O90" s="752"/>
      <c r="P90" s="752"/>
      <c r="Q90" s="753"/>
      <c r="R90" s="751" t="s">
        <v>146</v>
      </c>
      <c r="S90" s="752"/>
      <c r="T90" s="752"/>
      <c r="U90" s="752"/>
      <c r="V90" s="752"/>
      <c r="W90" s="752"/>
      <c r="X90" s="752"/>
      <c r="Y90" s="753"/>
      <c r="Z90" s="751" t="s">
        <v>178</v>
      </c>
      <c r="AA90" s="752"/>
      <c r="AB90" s="752"/>
      <c r="AC90" s="752"/>
      <c r="AD90" s="752"/>
      <c r="AE90" s="752"/>
      <c r="AF90" s="752"/>
      <c r="AG90" s="753"/>
      <c r="AH90" s="16"/>
      <c r="AI90" s="13"/>
      <c r="AJ90" s="13"/>
      <c r="AK90" s="13"/>
      <c r="AL90" s="13"/>
      <c r="AM90" s="13"/>
      <c r="AN90" s="13"/>
      <c r="AO90" s="13"/>
      <c r="AP90" s="13"/>
      <c r="AQ90" s="13"/>
      <c r="AY90" s="167"/>
      <c r="AZ90" s="167"/>
    </row>
    <row r="91" spans="1:54" s="1" customFormat="1" ht="15.6" customHeight="1" x14ac:dyDescent="0.15">
      <c r="A91" s="49"/>
      <c r="B91" s="785"/>
      <c r="C91" s="786"/>
      <c r="D91" s="787"/>
      <c r="E91" s="785"/>
      <c r="F91" s="786"/>
      <c r="G91" s="786"/>
      <c r="H91" s="786"/>
      <c r="I91" s="787"/>
      <c r="J91" s="788" t="s">
        <v>51</v>
      </c>
      <c r="K91" s="788"/>
      <c r="L91" s="788"/>
      <c r="M91" s="788"/>
      <c r="N91" s="765" t="s">
        <v>30</v>
      </c>
      <c r="O91" s="766"/>
      <c r="P91" s="766"/>
      <c r="Q91" s="767"/>
      <c r="R91" s="788" t="s">
        <v>51</v>
      </c>
      <c r="S91" s="788"/>
      <c r="T91" s="788"/>
      <c r="U91" s="788"/>
      <c r="V91" s="765" t="s">
        <v>30</v>
      </c>
      <c r="W91" s="766"/>
      <c r="X91" s="766"/>
      <c r="Y91" s="767"/>
      <c r="Z91" s="788" t="s">
        <v>51</v>
      </c>
      <c r="AA91" s="788"/>
      <c r="AB91" s="788"/>
      <c r="AC91" s="788"/>
      <c r="AD91" s="765" t="s">
        <v>30</v>
      </c>
      <c r="AE91" s="766"/>
      <c r="AF91" s="766"/>
      <c r="AG91" s="767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Y91" s="167"/>
      <c r="AZ91" s="167"/>
    </row>
    <row r="92" spans="1:54" s="1" customFormat="1" ht="15.6" customHeight="1" x14ac:dyDescent="0.15">
      <c r="A92" s="52"/>
      <c r="B92" s="768" t="s">
        <v>74</v>
      </c>
      <c r="C92" s="769"/>
      <c r="D92" s="770"/>
      <c r="E92" s="777" t="s">
        <v>52</v>
      </c>
      <c r="F92" s="777"/>
      <c r="G92" s="777"/>
      <c r="H92" s="777"/>
      <c r="I92" s="777"/>
      <c r="J92" s="778">
        <v>193</v>
      </c>
      <c r="K92" s="778"/>
      <c r="L92" s="778"/>
      <c r="M92" s="778"/>
      <c r="N92" s="779">
        <f>J92/SUM(J92:M96)</f>
        <v>0.15990057995028997</v>
      </c>
      <c r="O92" s="779"/>
      <c r="P92" s="779"/>
      <c r="Q92" s="779"/>
      <c r="R92" s="780">
        <v>206</v>
      </c>
      <c r="S92" s="778"/>
      <c r="T92" s="778"/>
      <c r="U92" s="778"/>
      <c r="V92" s="779">
        <f>R92/V86</f>
        <v>0.18676337262012693</v>
      </c>
      <c r="W92" s="779"/>
      <c r="X92" s="779"/>
      <c r="Y92" s="779"/>
      <c r="Z92" s="781">
        <f>13+27</f>
        <v>40</v>
      </c>
      <c r="AA92" s="782"/>
      <c r="AB92" s="782"/>
      <c r="AC92" s="782"/>
      <c r="AD92" s="814">
        <f>Z92/AA86</f>
        <v>0.20100502512562815</v>
      </c>
      <c r="AE92" s="814"/>
      <c r="AF92" s="814"/>
      <c r="AG92" s="814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Y92" s="789"/>
      <c r="AZ92" s="789"/>
    </row>
    <row r="93" spans="1:54" s="1" customFormat="1" ht="15.6" customHeight="1" x14ac:dyDescent="0.15">
      <c r="A93" s="52"/>
      <c r="B93" s="771"/>
      <c r="C93" s="772"/>
      <c r="D93" s="773"/>
      <c r="E93" s="784" t="s">
        <v>53</v>
      </c>
      <c r="F93" s="784"/>
      <c r="G93" s="784"/>
      <c r="H93" s="784"/>
      <c r="I93" s="784"/>
      <c r="J93" s="790">
        <v>600</v>
      </c>
      <c r="K93" s="790"/>
      <c r="L93" s="790"/>
      <c r="M93" s="790"/>
      <c r="N93" s="791">
        <f>J93/SUM(J92:M96)</f>
        <v>0.4971002485501243</v>
      </c>
      <c r="O93" s="791"/>
      <c r="P93" s="791"/>
      <c r="Q93" s="791"/>
      <c r="R93" s="792">
        <v>391</v>
      </c>
      <c r="S93" s="790"/>
      <c r="T93" s="790"/>
      <c r="U93" s="790"/>
      <c r="V93" s="793">
        <f>R93/V86</f>
        <v>0.35448776065276516</v>
      </c>
      <c r="W93" s="794"/>
      <c r="X93" s="794"/>
      <c r="Y93" s="795"/>
      <c r="Z93" s="796">
        <f>42+50</f>
        <v>92</v>
      </c>
      <c r="AA93" s="797"/>
      <c r="AB93" s="797"/>
      <c r="AC93" s="797"/>
      <c r="AD93" s="783">
        <f>Z93/AA86</f>
        <v>0.46231155778894473</v>
      </c>
      <c r="AE93" s="783"/>
      <c r="AF93" s="783"/>
      <c r="AG93" s="783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Y93" s="789"/>
      <c r="AZ93" s="789"/>
    </row>
    <row r="94" spans="1:54" s="1" customFormat="1" ht="15.6" customHeight="1" x14ac:dyDescent="0.15">
      <c r="A94" s="52"/>
      <c r="B94" s="771"/>
      <c r="C94" s="772"/>
      <c r="D94" s="773"/>
      <c r="E94" s="784" t="s">
        <v>54</v>
      </c>
      <c r="F94" s="784"/>
      <c r="G94" s="784"/>
      <c r="H94" s="784"/>
      <c r="I94" s="784"/>
      <c r="J94" s="790">
        <v>20</v>
      </c>
      <c r="K94" s="790"/>
      <c r="L94" s="790"/>
      <c r="M94" s="790"/>
      <c r="N94" s="791">
        <f>J94/SUM(J92:M96)</f>
        <v>1.6570008285004142E-2</v>
      </c>
      <c r="O94" s="791"/>
      <c r="P94" s="791"/>
      <c r="Q94" s="791"/>
      <c r="R94" s="792">
        <v>15</v>
      </c>
      <c r="S94" s="790"/>
      <c r="T94" s="790"/>
      <c r="U94" s="790"/>
      <c r="V94" s="793">
        <f>R94/V86</f>
        <v>1.3599274705349048E-2</v>
      </c>
      <c r="W94" s="794"/>
      <c r="X94" s="794"/>
      <c r="Y94" s="795"/>
      <c r="Z94" s="796">
        <f>2+0</f>
        <v>2</v>
      </c>
      <c r="AA94" s="797"/>
      <c r="AB94" s="797"/>
      <c r="AC94" s="797"/>
      <c r="AD94" s="783">
        <f>Z94/AA86</f>
        <v>1.0050251256281407E-2</v>
      </c>
      <c r="AE94" s="783"/>
      <c r="AF94" s="783"/>
      <c r="AG94" s="783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Y94" s="789"/>
      <c r="AZ94" s="789"/>
    </row>
    <row r="95" spans="1:54" s="1" customFormat="1" ht="15.6" customHeight="1" x14ac:dyDescent="0.15">
      <c r="A95" s="52"/>
      <c r="B95" s="771"/>
      <c r="C95" s="772"/>
      <c r="D95" s="773"/>
      <c r="E95" s="798" t="s">
        <v>55</v>
      </c>
      <c r="F95" s="798"/>
      <c r="G95" s="798"/>
      <c r="H95" s="798"/>
      <c r="I95" s="798"/>
      <c r="J95" s="790">
        <v>0</v>
      </c>
      <c r="K95" s="790"/>
      <c r="L95" s="790"/>
      <c r="M95" s="790"/>
      <c r="N95" s="791">
        <f>J95/SUM(J92:M96)</f>
        <v>0</v>
      </c>
      <c r="O95" s="791"/>
      <c r="P95" s="791"/>
      <c r="Q95" s="791"/>
      <c r="R95" s="792">
        <v>0</v>
      </c>
      <c r="S95" s="790"/>
      <c r="T95" s="790"/>
      <c r="U95" s="790"/>
      <c r="V95" s="793">
        <v>0</v>
      </c>
      <c r="W95" s="794"/>
      <c r="X95" s="794"/>
      <c r="Y95" s="795"/>
      <c r="Z95" s="796">
        <f>0+0</f>
        <v>0</v>
      </c>
      <c r="AA95" s="797"/>
      <c r="AB95" s="797"/>
      <c r="AC95" s="797"/>
      <c r="AD95" s="783">
        <v>0</v>
      </c>
      <c r="AE95" s="783"/>
      <c r="AF95" s="783"/>
      <c r="AG95" s="783"/>
      <c r="AH95" s="13"/>
      <c r="AI95" s="16"/>
      <c r="AJ95" s="16"/>
      <c r="AK95" s="799"/>
      <c r="AL95" s="799"/>
      <c r="AM95" s="799"/>
      <c r="AN95" s="13"/>
      <c r="AO95" s="13"/>
      <c r="AP95" s="72"/>
      <c r="AQ95" s="72"/>
      <c r="AR95" s="72"/>
      <c r="AS95" s="72"/>
      <c r="AT95" s="72"/>
      <c r="AU95" s="72"/>
      <c r="AV95" s="73"/>
      <c r="AW95" s="73"/>
      <c r="AX95" s="73"/>
      <c r="AY95" s="789"/>
      <c r="AZ95" s="789"/>
      <c r="BA95" s="73"/>
    </row>
    <row r="96" spans="1:54" s="1" customFormat="1" ht="15.6" customHeight="1" x14ac:dyDescent="0.15">
      <c r="A96" s="52"/>
      <c r="B96" s="774"/>
      <c r="C96" s="775"/>
      <c r="D96" s="776"/>
      <c r="E96" s="805" t="s">
        <v>56</v>
      </c>
      <c r="F96" s="805"/>
      <c r="G96" s="805"/>
      <c r="H96" s="805"/>
      <c r="I96" s="805"/>
      <c r="J96" s="806">
        <v>394</v>
      </c>
      <c r="K96" s="806"/>
      <c r="L96" s="806"/>
      <c r="M96" s="806"/>
      <c r="N96" s="807">
        <v>0.32600000000000001</v>
      </c>
      <c r="O96" s="807"/>
      <c r="P96" s="807"/>
      <c r="Q96" s="807"/>
      <c r="R96" s="808">
        <v>491</v>
      </c>
      <c r="S96" s="806"/>
      <c r="T96" s="806"/>
      <c r="U96" s="806"/>
      <c r="V96" s="809">
        <f>R96/V86</f>
        <v>0.44514959202175886</v>
      </c>
      <c r="W96" s="810"/>
      <c r="X96" s="810"/>
      <c r="Y96" s="811"/>
      <c r="Z96" s="812">
        <f>20+45</f>
        <v>65</v>
      </c>
      <c r="AA96" s="813"/>
      <c r="AB96" s="813"/>
      <c r="AC96" s="813"/>
      <c r="AD96" s="783">
        <f>Z96/AA86</f>
        <v>0.32663316582914576</v>
      </c>
      <c r="AE96" s="783"/>
      <c r="AF96" s="783"/>
      <c r="AG96" s="783"/>
      <c r="AH96" s="13"/>
      <c r="AI96" s="13"/>
      <c r="AJ96" s="800"/>
      <c r="AK96" s="800"/>
      <c r="AL96" s="800"/>
      <c r="AM96" s="13"/>
      <c r="AN96" s="13"/>
      <c r="AO96" s="13"/>
      <c r="AP96" s="13"/>
      <c r="AQ96" s="13"/>
      <c r="AY96" s="789"/>
      <c r="AZ96" s="789"/>
      <c r="BA96" s="801"/>
      <c r="BB96" s="801"/>
    </row>
    <row r="97" spans="1:54" s="1" customFormat="1" ht="15.6" customHeight="1" x14ac:dyDescent="0.15">
      <c r="A97" s="52"/>
      <c r="B97" s="768" t="s">
        <v>75</v>
      </c>
      <c r="C97" s="769"/>
      <c r="D97" s="770"/>
      <c r="E97" s="777" t="s">
        <v>57</v>
      </c>
      <c r="F97" s="777"/>
      <c r="G97" s="777"/>
      <c r="H97" s="777"/>
      <c r="I97" s="777"/>
      <c r="J97" s="778">
        <v>113</v>
      </c>
      <c r="K97" s="778"/>
      <c r="L97" s="778"/>
      <c r="M97" s="778"/>
      <c r="N97" s="779">
        <f>J97/SUM(J97:M100)</f>
        <v>9.3620546810273403E-2</v>
      </c>
      <c r="O97" s="779"/>
      <c r="P97" s="779"/>
      <c r="Q97" s="779"/>
      <c r="R97" s="778">
        <v>86</v>
      </c>
      <c r="S97" s="778"/>
      <c r="T97" s="778"/>
      <c r="U97" s="778"/>
      <c r="V97" s="802">
        <f>R97/SUM(R97:U100)</f>
        <v>7.7969174977334549E-2</v>
      </c>
      <c r="W97" s="803"/>
      <c r="X97" s="803"/>
      <c r="Y97" s="804"/>
      <c r="Z97" s="782">
        <f>3+16</f>
        <v>19</v>
      </c>
      <c r="AA97" s="782"/>
      <c r="AB97" s="782"/>
      <c r="AC97" s="782"/>
      <c r="AD97" s="814">
        <v>9.6000000000000002E-2</v>
      </c>
      <c r="AE97" s="814"/>
      <c r="AF97" s="814"/>
      <c r="AG97" s="814"/>
      <c r="AH97" s="13"/>
      <c r="AI97" s="13"/>
      <c r="AJ97" s="13"/>
      <c r="AK97" s="799"/>
      <c r="AL97" s="799"/>
      <c r="AM97" s="799"/>
      <c r="AN97" s="13"/>
      <c r="AO97" s="13"/>
      <c r="AP97" s="13"/>
      <c r="AQ97" s="13"/>
      <c r="AY97" s="789"/>
      <c r="AZ97" s="789"/>
    </row>
    <row r="98" spans="1:54" s="1" customFormat="1" ht="15.6" customHeight="1" x14ac:dyDescent="0.15">
      <c r="A98" s="52"/>
      <c r="B98" s="771"/>
      <c r="C98" s="772"/>
      <c r="D98" s="773"/>
      <c r="E98" s="784" t="s">
        <v>58</v>
      </c>
      <c r="F98" s="784"/>
      <c r="G98" s="784"/>
      <c r="H98" s="784"/>
      <c r="I98" s="784"/>
      <c r="J98" s="790">
        <v>62</v>
      </c>
      <c r="K98" s="790"/>
      <c r="L98" s="790"/>
      <c r="M98" s="790"/>
      <c r="N98" s="791">
        <f>J98/SUM(J97:M100)</f>
        <v>5.136702568351284E-2</v>
      </c>
      <c r="O98" s="791"/>
      <c r="P98" s="791"/>
      <c r="Q98" s="791"/>
      <c r="R98" s="790">
        <v>57</v>
      </c>
      <c r="S98" s="790"/>
      <c r="T98" s="790"/>
      <c r="U98" s="790"/>
      <c r="V98" s="793">
        <f>R98/SUM(R97:U100)</f>
        <v>5.1677243880326386E-2</v>
      </c>
      <c r="W98" s="794"/>
      <c r="X98" s="794"/>
      <c r="Y98" s="795"/>
      <c r="Z98" s="797">
        <f>2+2</f>
        <v>4</v>
      </c>
      <c r="AA98" s="797"/>
      <c r="AB98" s="797"/>
      <c r="AC98" s="797"/>
      <c r="AD98" s="783">
        <f>Z98/AA86</f>
        <v>2.0100502512562814E-2</v>
      </c>
      <c r="AE98" s="783"/>
      <c r="AF98" s="783"/>
      <c r="AG98" s="78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Y98" s="789"/>
      <c r="AZ98" s="789"/>
    </row>
    <row r="99" spans="1:54" s="3" customFormat="1" ht="15.6" customHeight="1" x14ac:dyDescent="0.15">
      <c r="A99" s="52"/>
      <c r="B99" s="771"/>
      <c r="C99" s="772"/>
      <c r="D99" s="773"/>
      <c r="E99" s="784" t="s">
        <v>59</v>
      </c>
      <c r="F99" s="784"/>
      <c r="G99" s="784"/>
      <c r="H99" s="784"/>
      <c r="I99" s="784"/>
      <c r="J99" s="790">
        <v>341</v>
      </c>
      <c r="K99" s="790"/>
      <c r="L99" s="790"/>
      <c r="M99" s="790"/>
      <c r="N99" s="791">
        <f>J99/SUM(J97:M100)</f>
        <v>0.28251864125932064</v>
      </c>
      <c r="O99" s="791"/>
      <c r="P99" s="791"/>
      <c r="Q99" s="791"/>
      <c r="R99" s="790">
        <v>361</v>
      </c>
      <c r="S99" s="790"/>
      <c r="T99" s="790"/>
      <c r="U99" s="790"/>
      <c r="V99" s="793">
        <f>R99/SUM(R97:U100)</f>
        <v>0.32728921124206711</v>
      </c>
      <c r="W99" s="794"/>
      <c r="X99" s="794"/>
      <c r="Y99" s="795"/>
      <c r="Z99" s="797">
        <f>21+36</f>
        <v>57</v>
      </c>
      <c r="AA99" s="797"/>
      <c r="AB99" s="797"/>
      <c r="AC99" s="797"/>
      <c r="AD99" s="783">
        <f>Z99/AA86</f>
        <v>0.28643216080402012</v>
      </c>
      <c r="AE99" s="783"/>
      <c r="AF99" s="783"/>
      <c r="AG99" s="78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Y99" s="789"/>
      <c r="AZ99" s="789"/>
    </row>
    <row r="100" spans="1:54" s="3" customFormat="1" ht="15.6" customHeight="1" x14ac:dyDescent="0.15">
      <c r="A100" s="52"/>
      <c r="B100" s="774"/>
      <c r="C100" s="775"/>
      <c r="D100" s="776"/>
      <c r="E100" s="805" t="s">
        <v>56</v>
      </c>
      <c r="F100" s="805"/>
      <c r="G100" s="805"/>
      <c r="H100" s="805"/>
      <c r="I100" s="805"/>
      <c r="J100" s="806">
        <v>691</v>
      </c>
      <c r="K100" s="806"/>
      <c r="L100" s="806"/>
      <c r="M100" s="806"/>
      <c r="N100" s="807">
        <f>J100/SUM(J97:M100)</f>
        <v>0.57249378624689318</v>
      </c>
      <c r="O100" s="807"/>
      <c r="P100" s="807"/>
      <c r="Q100" s="807"/>
      <c r="R100" s="806">
        <v>599</v>
      </c>
      <c r="S100" s="806"/>
      <c r="T100" s="806"/>
      <c r="U100" s="806"/>
      <c r="V100" s="809">
        <f>R100/SUM(R97:U100)</f>
        <v>0.54306436990027196</v>
      </c>
      <c r="W100" s="810"/>
      <c r="X100" s="810"/>
      <c r="Y100" s="811"/>
      <c r="Z100" s="813">
        <f>51+68</f>
        <v>119</v>
      </c>
      <c r="AA100" s="813"/>
      <c r="AB100" s="813"/>
      <c r="AC100" s="813"/>
      <c r="AD100" s="817">
        <f>Z100/AA86</f>
        <v>0.59798994974874375</v>
      </c>
      <c r="AE100" s="817"/>
      <c r="AF100" s="817"/>
      <c r="AG100" s="817"/>
      <c r="AH100" s="13"/>
      <c r="AI100" s="13"/>
      <c r="AJ100" s="800"/>
      <c r="AK100" s="800"/>
      <c r="AL100" s="800"/>
      <c r="AM100" s="83"/>
      <c r="AN100" s="13"/>
      <c r="AO100" s="13"/>
      <c r="AP100" s="13"/>
      <c r="AQ100" s="13"/>
      <c r="AY100" s="789"/>
      <c r="AZ100" s="789"/>
      <c r="BA100" s="789"/>
      <c r="BB100" s="789"/>
    </row>
    <row r="101" spans="1:54" s="3" customFormat="1" ht="15.6" customHeight="1" x14ac:dyDescent="0.15">
      <c r="A101" s="55"/>
      <c r="Y101" s="2"/>
      <c r="Z101" s="2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Y101" s="79"/>
      <c r="AZ101" s="79"/>
    </row>
    <row r="102" spans="1:54" s="3" customFormat="1" ht="15.6" customHeight="1" x14ac:dyDescent="0.15">
      <c r="A102" s="55" t="s">
        <v>1</v>
      </c>
      <c r="AG102" s="4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Y102" s="79"/>
      <c r="AZ102" s="79"/>
    </row>
    <row r="103" spans="1:54" s="3" customFormat="1" ht="15.6" customHeight="1" x14ac:dyDescent="0.15">
      <c r="A103" s="50" t="s">
        <v>176</v>
      </c>
      <c r="AG103" s="4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Y103" s="79"/>
      <c r="AZ103" s="79"/>
    </row>
    <row r="104" spans="1:54" s="3" customFormat="1" ht="15.6" customHeight="1" x14ac:dyDescent="0.15">
      <c r="A104" s="55"/>
      <c r="B104" s="595" t="s">
        <v>14</v>
      </c>
      <c r="C104" s="595"/>
      <c r="D104" s="595" t="s">
        <v>15</v>
      </c>
      <c r="E104" s="595"/>
      <c r="F104" s="595"/>
      <c r="G104" s="595"/>
      <c r="H104" s="595"/>
      <c r="I104" s="595" t="s">
        <v>16</v>
      </c>
      <c r="J104" s="595"/>
      <c r="K104" s="595"/>
      <c r="L104" s="595"/>
      <c r="M104" s="595"/>
      <c r="N104" s="595" t="s">
        <v>17</v>
      </c>
      <c r="O104" s="595"/>
      <c r="P104" s="595"/>
      <c r="Q104" s="595"/>
      <c r="R104" s="595"/>
      <c r="S104" s="595" t="s">
        <v>18</v>
      </c>
      <c r="T104" s="595"/>
      <c r="U104" s="595"/>
      <c r="V104" s="595"/>
      <c r="W104" s="595"/>
      <c r="X104" s="595" t="s">
        <v>19</v>
      </c>
      <c r="Y104" s="595"/>
      <c r="Z104" s="595"/>
      <c r="AA104" s="595"/>
      <c r="AB104" s="595"/>
      <c r="AC104" s="595" t="s">
        <v>20</v>
      </c>
      <c r="AD104" s="595"/>
      <c r="AE104" s="595"/>
      <c r="AF104" s="595"/>
      <c r="AG104" s="7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Y104" s="79"/>
      <c r="AZ104" s="79"/>
    </row>
    <row r="105" spans="1:54" ht="15.6" customHeight="1" x14ac:dyDescent="0.15">
      <c r="A105" s="52"/>
      <c r="B105" s="815" t="s">
        <v>9</v>
      </c>
      <c r="C105" s="815"/>
      <c r="D105" s="816">
        <v>46</v>
      </c>
      <c r="E105" s="816"/>
      <c r="F105" s="816"/>
      <c r="G105" s="816"/>
      <c r="H105" s="816"/>
      <c r="I105" s="816">
        <v>2</v>
      </c>
      <c r="J105" s="816"/>
      <c r="K105" s="816"/>
      <c r="L105" s="816"/>
      <c r="M105" s="816"/>
      <c r="N105" s="816">
        <v>0</v>
      </c>
      <c r="O105" s="816"/>
      <c r="P105" s="816"/>
      <c r="Q105" s="816"/>
      <c r="R105" s="816"/>
      <c r="S105" s="816">
        <v>43</v>
      </c>
      <c r="T105" s="816"/>
      <c r="U105" s="816"/>
      <c r="V105" s="816"/>
      <c r="W105" s="816"/>
      <c r="X105" s="816">
        <v>19</v>
      </c>
      <c r="Y105" s="816"/>
      <c r="Z105" s="816"/>
      <c r="AA105" s="816"/>
      <c r="AB105" s="816"/>
      <c r="AC105" s="816">
        <f>S105-X105</f>
        <v>24</v>
      </c>
      <c r="AD105" s="816"/>
      <c r="AE105" s="816"/>
      <c r="AF105" s="816"/>
    </row>
    <row r="106" spans="1:54" ht="15.6" customHeight="1" x14ac:dyDescent="0.15">
      <c r="A106" s="50" t="s">
        <v>183</v>
      </c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</row>
    <row r="107" spans="1:54" ht="15.6" customHeight="1" x14ac:dyDescent="0.15">
      <c r="A107" s="55"/>
      <c r="B107" s="595" t="s">
        <v>14</v>
      </c>
      <c r="C107" s="595"/>
      <c r="D107" s="595" t="s">
        <v>15</v>
      </c>
      <c r="E107" s="595"/>
      <c r="F107" s="595"/>
      <c r="G107" s="595"/>
      <c r="H107" s="595"/>
      <c r="I107" s="595" t="s">
        <v>16</v>
      </c>
      <c r="J107" s="595"/>
      <c r="K107" s="595"/>
      <c r="L107" s="595"/>
      <c r="M107" s="595"/>
      <c r="N107" s="595" t="s">
        <v>17</v>
      </c>
      <c r="O107" s="595"/>
      <c r="P107" s="595"/>
      <c r="Q107" s="595"/>
      <c r="R107" s="595"/>
      <c r="S107" s="595" t="s">
        <v>18</v>
      </c>
      <c r="T107" s="595"/>
      <c r="U107" s="595"/>
      <c r="V107" s="595"/>
      <c r="W107" s="595"/>
      <c r="X107" s="595" t="s">
        <v>19</v>
      </c>
      <c r="Y107" s="595"/>
      <c r="Z107" s="595"/>
      <c r="AA107" s="595"/>
      <c r="AB107" s="595"/>
      <c r="AC107" s="595" t="s">
        <v>20</v>
      </c>
      <c r="AD107" s="595"/>
      <c r="AE107" s="595"/>
      <c r="AF107" s="595"/>
    </row>
    <row r="108" spans="1:54" s="7" customFormat="1" ht="15.6" customHeight="1" x14ac:dyDescent="0.15">
      <c r="A108" s="13"/>
      <c r="B108" s="827" t="s">
        <v>9</v>
      </c>
      <c r="C108" s="827"/>
      <c r="D108" s="750">
        <f>1+4</f>
        <v>5</v>
      </c>
      <c r="E108" s="750"/>
      <c r="F108" s="750"/>
      <c r="G108" s="750"/>
      <c r="H108" s="750"/>
      <c r="I108" s="750">
        <f>0+0</f>
        <v>0</v>
      </c>
      <c r="J108" s="750"/>
      <c r="K108" s="750"/>
      <c r="L108" s="750"/>
      <c r="M108" s="750"/>
      <c r="N108" s="750">
        <f>0+0</f>
        <v>0</v>
      </c>
      <c r="O108" s="750"/>
      <c r="P108" s="750"/>
      <c r="Q108" s="750"/>
      <c r="R108" s="750"/>
      <c r="S108" s="750">
        <v>3</v>
      </c>
      <c r="T108" s="750"/>
      <c r="U108" s="750"/>
      <c r="V108" s="750"/>
      <c r="W108" s="750"/>
      <c r="X108" s="750">
        <f>0+6</f>
        <v>6</v>
      </c>
      <c r="Y108" s="750"/>
      <c r="Z108" s="750"/>
      <c r="AA108" s="750"/>
      <c r="AB108" s="750"/>
      <c r="AC108" s="750">
        <f>S108-X108</f>
        <v>-3</v>
      </c>
      <c r="AD108" s="750"/>
      <c r="AE108" s="750"/>
      <c r="AF108" s="750"/>
      <c r="AY108" s="80"/>
      <c r="AZ108" s="80"/>
    </row>
    <row r="110" spans="1:54" ht="15.6" customHeight="1" x14ac:dyDescent="0.15">
      <c r="I110" s="820"/>
      <c r="J110" s="819"/>
      <c r="K110" s="819"/>
      <c r="L110" s="819"/>
      <c r="S110" s="820"/>
      <c r="T110" s="819"/>
      <c r="U110" s="819"/>
      <c r="V110" s="819"/>
      <c r="Z110" s="820"/>
      <c r="AA110" s="819"/>
      <c r="AB110" s="819"/>
      <c r="AC110" s="819"/>
    </row>
    <row r="111" spans="1:54" ht="15.6" customHeight="1" x14ac:dyDescent="0.15">
      <c r="D111" s="19"/>
      <c r="I111" s="819"/>
      <c r="J111" s="819"/>
      <c r="K111" s="819"/>
      <c r="L111" s="819"/>
      <c r="M111" s="819"/>
      <c r="N111" s="821"/>
      <c r="O111" s="821"/>
      <c r="P111" s="821"/>
      <c r="Q111" s="821"/>
      <c r="R111" s="819"/>
      <c r="S111" s="819"/>
      <c r="T111" s="819"/>
      <c r="U111" s="819"/>
      <c r="Z111" s="819"/>
      <c r="AA111" s="819"/>
      <c r="AB111" s="819"/>
      <c r="AC111" s="819"/>
    </row>
    <row r="112" spans="1:54" ht="15.6" customHeight="1" x14ac:dyDescent="0.15">
      <c r="I112" s="819"/>
      <c r="J112" s="819"/>
      <c r="K112" s="819"/>
      <c r="L112" s="819"/>
      <c r="M112" s="819"/>
      <c r="N112" s="819"/>
      <c r="O112" s="819"/>
      <c r="P112" s="819"/>
      <c r="Q112" s="819"/>
      <c r="R112" s="819"/>
      <c r="S112" s="819"/>
      <c r="T112" s="819"/>
      <c r="U112" s="819"/>
      <c r="Z112" s="819"/>
      <c r="AA112" s="819"/>
      <c r="AB112" s="819"/>
      <c r="AC112" s="819"/>
    </row>
    <row r="113" spans="4:29" ht="15.6" customHeight="1" x14ac:dyDescent="0.15">
      <c r="D113" s="19"/>
      <c r="I113" s="819"/>
      <c r="J113" s="819"/>
      <c r="K113" s="819"/>
      <c r="L113" s="819"/>
      <c r="M113" s="819"/>
      <c r="N113" s="819"/>
      <c r="O113" s="819"/>
      <c r="P113" s="819"/>
      <c r="Q113" s="819"/>
      <c r="R113" s="819"/>
      <c r="S113" s="819"/>
      <c r="T113" s="819"/>
      <c r="U113" s="819"/>
      <c r="Z113" s="819"/>
      <c r="AA113" s="819"/>
      <c r="AB113" s="819"/>
      <c r="AC113" s="819"/>
    </row>
  </sheetData>
  <mergeCells count="482">
    <mergeCell ref="I7:M7"/>
    <mergeCell ref="I8:M8"/>
    <mergeCell ref="V8:X8"/>
    <mergeCell ref="B11:H12"/>
    <mergeCell ref="I11:M12"/>
    <mergeCell ref="N11:R12"/>
    <mergeCell ref="S11:W12"/>
    <mergeCell ref="A1:AG2"/>
    <mergeCell ref="AA3:AG4"/>
    <mergeCell ref="AA5:AG5"/>
    <mergeCell ref="B6:D6"/>
    <mergeCell ref="F6:L6"/>
    <mergeCell ref="M6:O6"/>
    <mergeCell ref="AH13:AK13"/>
    <mergeCell ref="I14:M14"/>
    <mergeCell ref="N14:R14"/>
    <mergeCell ref="S14:W14"/>
    <mergeCell ref="X14:AA14"/>
    <mergeCell ref="AC14:AG14"/>
    <mergeCell ref="AH14:AK14"/>
    <mergeCell ref="Y11:AA11"/>
    <mergeCell ref="AC11:AG12"/>
    <mergeCell ref="Y12:AA12"/>
    <mergeCell ref="I13:M13"/>
    <mergeCell ref="N13:R13"/>
    <mergeCell ref="S13:W13"/>
    <mergeCell ref="X13:AA13"/>
    <mergeCell ref="AC13:AG13"/>
    <mergeCell ref="AH15:AK15"/>
    <mergeCell ref="B16:H16"/>
    <mergeCell ref="I16:M16"/>
    <mergeCell ref="N16:R16"/>
    <mergeCell ref="S16:W16"/>
    <mergeCell ref="X16:AA16"/>
    <mergeCell ref="AC16:AG16"/>
    <mergeCell ref="AH16:AK16"/>
    <mergeCell ref="B15:H15"/>
    <mergeCell ref="I15:M15"/>
    <mergeCell ref="N15:R15"/>
    <mergeCell ref="S15:W15"/>
    <mergeCell ref="X15:AA15"/>
    <mergeCell ref="AC15:AG15"/>
    <mergeCell ref="D19:H19"/>
    <mergeCell ref="I19:M19"/>
    <mergeCell ref="N19:R19"/>
    <mergeCell ref="B23:C23"/>
    <mergeCell ref="D23:H23"/>
    <mergeCell ref="I23:M23"/>
    <mergeCell ref="N23:R23"/>
    <mergeCell ref="AH17:AK17"/>
    <mergeCell ref="AX17:AY17"/>
    <mergeCell ref="B18:H18"/>
    <mergeCell ref="I18:M18"/>
    <mergeCell ref="N18:R18"/>
    <mergeCell ref="S18:W18"/>
    <mergeCell ref="X18:AA18"/>
    <mergeCell ref="AC18:AG18"/>
    <mergeCell ref="AH18:AK18"/>
    <mergeCell ref="B17:H17"/>
    <mergeCell ref="I17:M17"/>
    <mergeCell ref="N17:R17"/>
    <mergeCell ref="S17:W17"/>
    <mergeCell ref="X17:AA17"/>
    <mergeCell ref="AC17:AG17"/>
    <mergeCell ref="S23:X23"/>
    <mergeCell ref="Y23:AD23"/>
    <mergeCell ref="AE23:AG23"/>
    <mergeCell ref="B24:C24"/>
    <mergeCell ref="D24:H24"/>
    <mergeCell ref="I24:M24"/>
    <mergeCell ref="N24:R24"/>
    <mergeCell ref="S24:X24"/>
    <mergeCell ref="Y24:AD24"/>
    <mergeCell ref="AE24:AG24"/>
    <mergeCell ref="AC27:AD27"/>
    <mergeCell ref="AC30:AD30"/>
    <mergeCell ref="D28:G28"/>
    <mergeCell ref="L28:M28"/>
    <mergeCell ref="Q28:R28"/>
    <mergeCell ref="W28:X28"/>
    <mergeCell ref="AC28:AD28"/>
    <mergeCell ref="AC25:AD25"/>
    <mergeCell ref="D26:G26"/>
    <mergeCell ref="L26:M26"/>
    <mergeCell ref="Q26:R26"/>
    <mergeCell ref="W26:X26"/>
    <mergeCell ref="AC26:AD26"/>
    <mergeCell ref="D25:F25"/>
    <mergeCell ref="G25:H25"/>
    <mergeCell ref="L25:M25"/>
    <mergeCell ref="Q25:R25"/>
    <mergeCell ref="W25:X25"/>
    <mergeCell ref="D27:G27"/>
    <mergeCell ref="L27:M27"/>
    <mergeCell ref="Q27:R27"/>
    <mergeCell ref="W27:X27"/>
    <mergeCell ref="AJ38:AM38"/>
    <mergeCell ref="W34:X34"/>
    <mergeCell ref="AC34:AD34"/>
    <mergeCell ref="D35:G35"/>
    <mergeCell ref="W35:X35"/>
    <mergeCell ref="AC35:AD35"/>
    <mergeCell ref="B37:C37"/>
    <mergeCell ref="D37:H37"/>
    <mergeCell ref="I37:M37"/>
    <mergeCell ref="N37:R37"/>
    <mergeCell ref="S37:X37"/>
    <mergeCell ref="B25:C35"/>
    <mergeCell ref="Y37:AD37"/>
    <mergeCell ref="W31:X31"/>
    <mergeCell ref="AC31:AD31"/>
    <mergeCell ref="W32:X32"/>
    <mergeCell ref="AC32:AD32"/>
    <mergeCell ref="W33:X33"/>
    <mergeCell ref="AC33:AD33"/>
    <mergeCell ref="D29:G29"/>
    <mergeCell ref="Q29:R29"/>
    <mergeCell ref="W29:X29"/>
    <mergeCell ref="AC29:AD29"/>
    <mergeCell ref="W30:X30"/>
    <mergeCell ref="AC41:AD41"/>
    <mergeCell ref="AE37:AG37"/>
    <mergeCell ref="B38:C38"/>
    <mergeCell ref="D38:H38"/>
    <mergeCell ref="I38:M38"/>
    <mergeCell ref="N38:R38"/>
    <mergeCell ref="S38:X38"/>
    <mergeCell ref="Y38:AD38"/>
    <mergeCell ref="AE38:AG38"/>
    <mergeCell ref="W47:X47"/>
    <mergeCell ref="AC47:AD47"/>
    <mergeCell ref="D43:G43"/>
    <mergeCell ref="Q43:R43"/>
    <mergeCell ref="W43:X43"/>
    <mergeCell ref="AC43:AD43"/>
    <mergeCell ref="W44:X44"/>
    <mergeCell ref="AC44:AD44"/>
    <mergeCell ref="AJ39:AM39"/>
    <mergeCell ref="D40:G40"/>
    <mergeCell ref="AJ41:AM41"/>
    <mergeCell ref="D42:G42"/>
    <mergeCell ref="L42:M42"/>
    <mergeCell ref="Q42:R42"/>
    <mergeCell ref="W42:X42"/>
    <mergeCell ref="AC42:AD42"/>
    <mergeCell ref="L40:M40"/>
    <mergeCell ref="Q40:R40"/>
    <mergeCell ref="W40:X40"/>
    <mergeCell ref="AC40:AD40"/>
    <mergeCell ref="D41:G41"/>
    <mergeCell ref="L41:M41"/>
    <mergeCell ref="Q41:R41"/>
    <mergeCell ref="W41:X41"/>
    <mergeCell ref="W48:X48"/>
    <mergeCell ref="AC48:AD48"/>
    <mergeCell ref="D49:G49"/>
    <mergeCell ref="W49:X49"/>
    <mergeCell ref="AC49:AD49"/>
    <mergeCell ref="B56:E56"/>
    <mergeCell ref="F56:I56"/>
    <mergeCell ref="J56:M56"/>
    <mergeCell ref="N56:Q56"/>
    <mergeCell ref="R56:U56"/>
    <mergeCell ref="B39:C49"/>
    <mergeCell ref="D39:F39"/>
    <mergeCell ref="G39:H39"/>
    <mergeCell ref="L39:M39"/>
    <mergeCell ref="Q39:R39"/>
    <mergeCell ref="W39:X39"/>
    <mergeCell ref="AC39:AD39"/>
    <mergeCell ref="V56:Y56"/>
    <mergeCell ref="Z56:AC56"/>
    <mergeCell ref="AD56:AG56"/>
    <mergeCell ref="W45:X45"/>
    <mergeCell ref="AC45:AD45"/>
    <mergeCell ref="W46:X46"/>
    <mergeCell ref="AC46:AD46"/>
    <mergeCell ref="F57:I57"/>
    <mergeCell ref="J57:M57"/>
    <mergeCell ref="N57:Q57"/>
    <mergeCell ref="R57:U57"/>
    <mergeCell ref="V57:Y57"/>
    <mergeCell ref="Z57:AC57"/>
    <mergeCell ref="AQ58:AR58"/>
    <mergeCell ref="B59:E60"/>
    <mergeCell ref="F59:I59"/>
    <mergeCell ref="J59:M59"/>
    <mergeCell ref="N59:Q59"/>
    <mergeCell ref="R59:U59"/>
    <mergeCell ref="V59:Y59"/>
    <mergeCell ref="Z59:AC59"/>
    <mergeCell ref="AD59:AG59"/>
    <mergeCell ref="AQ59:AR59"/>
    <mergeCell ref="B57:E58"/>
    <mergeCell ref="AD60:AG60"/>
    <mergeCell ref="AQ60:AR60"/>
    <mergeCell ref="AD57:AG57"/>
    <mergeCell ref="F58:I58"/>
    <mergeCell ref="J58:M58"/>
    <mergeCell ref="N58:Q58"/>
    <mergeCell ref="R58:U58"/>
    <mergeCell ref="V58:Y58"/>
    <mergeCell ref="Z58:AC58"/>
    <mergeCell ref="AD58:AG58"/>
    <mergeCell ref="B61:E62"/>
    <mergeCell ref="F61:I61"/>
    <mergeCell ref="J61:M61"/>
    <mergeCell ref="N61:Q61"/>
    <mergeCell ref="R61:U61"/>
    <mergeCell ref="V61:Y61"/>
    <mergeCell ref="Z61:AC61"/>
    <mergeCell ref="AD61:AG61"/>
    <mergeCell ref="F60:I60"/>
    <mergeCell ref="J60:M60"/>
    <mergeCell ref="N60:Q60"/>
    <mergeCell ref="R60:U60"/>
    <mergeCell ref="V60:Y60"/>
    <mergeCell ref="Z60:AC60"/>
    <mergeCell ref="B65:D66"/>
    <mergeCell ref="E65:G66"/>
    <mergeCell ref="H65:J66"/>
    <mergeCell ref="K65:L66"/>
    <mergeCell ref="M65:N66"/>
    <mergeCell ref="O65:Q66"/>
    <mergeCell ref="R65:S66"/>
    <mergeCell ref="T65:U66"/>
    <mergeCell ref="AQ61:AR61"/>
    <mergeCell ref="F62:I62"/>
    <mergeCell ref="J62:M62"/>
    <mergeCell ref="N62:Q62"/>
    <mergeCell ref="R62:U62"/>
    <mergeCell ref="V62:Y62"/>
    <mergeCell ref="Z62:AC62"/>
    <mergeCell ref="AD62:AG62"/>
    <mergeCell ref="AQ62:AR62"/>
    <mergeCell ref="V65:W66"/>
    <mergeCell ref="X65:Y66"/>
    <mergeCell ref="Z65:AB66"/>
    <mergeCell ref="AC65:AD66"/>
    <mergeCell ref="AE65:AG66"/>
    <mergeCell ref="AQ65:AR65"/>
    <mergeCell ref="AQ66:AR66"/>
    <mergeCell ref="AQ63:AR63"/>
    <mergeCell ref="AQ64:AR64"/>
    <mergeCell ref="B69:D70"/>
    <mergeCell ref="E69:G70"/>
    <mergeCell ref="H69:J70"/>
    <mergeCell ref="K69:L70"/>
    <mergeCell ref="M69:N70"/>
    <mergeCell ref="O69:Q70"/>
    <mergeCell ref="R69:S70"/>
    <mergeCell ref="R67:S68"/>
    <mergeCell ref="T67:U68"/>
    <mergeCell ref="B67:D68"/>
    <mergeCell ref="E67:G68"/>
    <mergeCell ref="H67:J68"/>
    <mergeCell ref="K67:L68"/>
    <mergeCell ref="M67:N68"/>
    <mergeCell ref="O67:Q68"/>
    <mergeCell ref="T69:U70"/>
    <mergeCell ref="V69:W70"/>
    <mergeCell ref="X69:Y70"/>
    <mergeCell ref="Z69:AB70"/>
    <mergeCell ref="AC69:AD70"/>
    <mergeCell ref="AE69:AG70"/>
    <mergeCell ref="AE67:AG68"/>
    <mergeCell ref="AQ67:AR67"/>
    <mergeCell ref="AQ68:AR68"/>
    <mergeCell ref="V67:W68"/>
    <mergeCell ref="X67:Y68"/>
    <mergeCell ref="Z67:AB68"/>
    <mergeCell ref="AC67:AD68"/>
    <mergeCell ref="AE71:AG72"/>
    <mergeCell ref="B73:D73"/>
    <mergeCell ref="E73:G73"/>
    <mergeCell ref="H73:J73"/>
    <mergeCell ref="K73:L73"/>
    <mergeCell ref="M73:N73"/>
    <mergeCell ref="O73:Q73"/>
    <mergeCell ref="R73:S73"/>
    <mergeCell ref="T73:U73"/>
    <mergeCell ref="V73:W73"/>
    <mergeCell ref="R71:S72"/>
    <mergeCell ref="T71:U72"/>
    <mergeCell ref="V71:W72"/>
    <mergeCell ref="X71:Y72"/>
    <mergeCell ref="Z71:AB72"/>
    <mergeCell ref="AC71:AD72"/>
    <mergeCell ref="B71:D72"/>
    <mergeCell ref="E71:G72"/>
    <mergeCell ref="H71:J72"/>
    <mergeCell ref="K71:L72"/>
    <mergeCell ref="M71:N72"/>
    <mergeCell ref="O71:Q72"/>
    <mergeCell ref="X73:Y73"/>
    <mergeCell ref="Z73:AB73"/>
    <mergeCell ref="AC73:AD73"/>
    <mergeCell ref="AE73:AG73"/>
    <mergeCell ref="B76:G77"/>
    <mergeCell ref="H76:Y76"/>
    <mergeCell ref="Z76:AG77"/>
    <mergeCell ref="H77:M77"/>
    <mergeCell ref="N77:S77"/>
    <mergeCell ref="T77:Y77"/>
    <mergeCell ref="B78:G78"/>
    <mergeCell ref="H78:M78"/>
    <mergeCell ref="N78:S78"/>
    <mergeCell ref="T78:Y78"/>
    <mergeCell ref="Z78:AG78"/>
    <mergeCell ref="B79:G79"/>
    <mergeCell ref="H79:M79"/>
    <mergeCell ref="N79:S79"/>
    <mergeCell ref="T79:Y79"/>
    <mergeCell ref="Z79:AG79"/>
    <mergeCell ref="B80:G80"/>
    <mergeCell ref="H80:M80"/>
    <mergeCell ref="N80:S80"/>
    <mergeCell ref="T80:Y80"/>
    <mergeCell ref="Z80:AG80"/>
    <mergeCell ref="B81:G81"/>
    <mergeCell ref="H81:M81"/>
    <mergeCell ref="N81:S81"/>
    <mergeCell ref="T81:Y81"/>
    <mergeCell ref="Z81:AG81"/>
    <mergeCell ref="B82:G82"/>
    <mergeCell ref="H82:M82"/>
    <mergeCell ref="N82:S82"/>
    <mergeCell ref="T82:Y82"/>
    <mergeCell ref="Z82:AG82"/>
    <mergeCell ref="B85:F85"/>
    <mergeCell ref="G85:K85"/>
    <mergeCell ref="L85:P85"/>
    <mergeCell ref="Q85:U85"/>
    <mergeCell ref="V85:Z85"/>
    <mergeCell ref="AI86:AK86"/>
    <mergeCell ref="B87:F87"/>
    <mergeCell ref="G87:K87"/>
    <mergeCell ref="L87:P87"/>
    <mergeCell ref="Q87:U87"/>
    <mergeCell ref="V87:Z87"/>
    <mergeCell ref="AA87:AE87"/>
    <mergeCell ref="AA85:AE85"/>
    <mergeCell ref="B86:F86"/>
    <mergeCell ref="G86:K86"/>
    <mergeCell ref="L86:P86"/>
    <mergeCell ref="Q86:U86"/>
    <mergeCell ref="V86:Z86"/>
    <mergeCell ref="AA86:AE86"/>
    <mergeCell ref="AD91:AG91"/>
    <mergeCell ref="B92:D96"/>
    <mergeCell ref="E92:I92"/>
    <mergeCell ref="J92:M92"/>
    <mergeCell ref="N92:Q92"/>
    <mergeCell ref="R92:U92"/>
    <mergeCell ref="V92:Y92"/>
    <mergeCell ref="Z92:AC92"/>
    <mergeCell ref="AD92:AG92"/>
    <mergeCell ref="E94:I94"/>
    <mergeCell ref="B90:D91"/>
    <mergeCell ref="E90:I91"/>
    <mergeCell ref="J90:Q90"/>
    <mergeCell ref="R90:Y90"/>
    <mergeCell ref="Z90:AG90"/>
    <mergeCell ref="J91:M91"/>
    <mergeCell ref="N91:Q91"/>
    <mergeCell ref="R91:U91"/>
    <mergeCell ref="V91:Y91"/>
    <mergeCell ref="Z91:AC91"/>
    <mergeCell ref="AD96:AG96"/>
    <mergeCell ref="AY92:AZ92"/>
    <mergeCell ref="E93:I93"/>
    <mergeCell ref="J93:M93"/>
    <mergeCell ref="N93:Q93"/>
    <mergeCell ref="R93:U93"/>
    <mergeCell ref="V93:Y93"/>
    <mergeCell ref="Z93:AC93"/>
    <mergeCell ref="AD93:AG93"/>
    <mergeCell ref="AY93:AZ93"/>
    <mergeCell ref="AY94:AZ94"/>
    <mergeCell ref="E95:I95"/>
    <mergeCell ref="J95:M95"/>
    <mergeCell ref="N95:Q95"/>
    <mergeCell ref="R95:U95"/>
    <mergeCell ref="V95:Y95"/>
    <mergeCell ref="Z95:AC95"/>
    <mergeCell ref="AD95:AG95"/>
    <mergeCell ref="AK95:AM95"/>
    <mergeCell ref="AY95:AZ95"/>
    <mergeCell ref="J94:M94"/>
    <mergeCell ref="N94:Q94"/>
    <mergeCell ref="R94:U94"/>
    <mergeCell ref="V94:Y94"/>
    <mergeCell ref="Z94:AC94"/>
    <mergeCell ref="AD94:AG94"/>
    <mergeCell ref="AJ96:AL96"/>
    <mergeCell ref="AY96:AZ96"/>
    <mergeCell ref="BA96:BB96"/>
    <mergeCell ref="B97:D100"/>
    <mergeCell ref="E97:I97"/>
    <mergeCell ref="J97:M97"/>
    <mergeCell ref="N97:Q97"/>
    <mergeCell ref="R97:U97"/>
    <mergeCell ref="V97:Y97"/>
    <mergeCell ref="E96:I96"/>
    <mergeCell ref="J96:M96"/>
    <mergeCell ref="N96:Q96"/>
    <mergeCell ref="R96:U96"/>
    <mergeCell ref="V96:Y96"/>
    <mergeCell ref="Z96:AC96"/>
    <mergeCell ref="Z97:AC97"/>
    <mergeCell ref="AD97:AG97"/>
    <mergeCell ref="AK97:AM97"/>
    <mergeCell ref="AY97:AZ97"/>
    <mergeCell ref="E98:I98"/>
    <mergeCell ref="J98:M98"/>
    <mergeCell ref="N98:Q98"/>
    <mergeCell ref="R98:U98"/>
    <mergeCell ref="V98:Y98"/>
    <mergeCell ref="Z98:AC98"/>
    <mergeCell ref="AD98:AG98"/>
    <mergeCell ref="AY98:AZ98"/>
    <mergeCell ref="E99:I99"/>
    <mergeCell ref="J99:M99"/>
    <mergeCell ref="N99:Q99"/>
    <mergeCell ref="R99:U99"/>
    <mergeCell ref="V99:Y99"/>
    <mergeCell ref="Z99:AC99"/>
    <mergeCell ref="AD99:AG99"/>
    <mergeCell ref="AY99:AZ99"/>
    <mergeCell ref="AJ100:AL100"/>
    <mergeCell ref="AY100:AZ100"/>
    <mergeCell ref="BA100:BB100"/>
    <mergeCell ref="B104:C104"/>
    <mergeCell ref="D104:H104"/>
    <mergeCell ref="I104:M104"/>
    <mergeCell ref="N104:R104"/>
    <mergeCell ref="S104:W104"/>
    <mergeCell ref="X104:AB104"/>
    <mergeCell ref="E100:I100"/>
    <mergeCell ref="J100:M100"/>
    <mergeCell ref="N100:Q100"/>
    <mergeCell ref="R100:U100"/>
    <mergeCell ref="V100:Y100"/>
    <mergeCell ref="Z100:AC100"/>
    <mergeCell ref="AC104:AF104"/>
    <mergeCell ref="B105:C105"/>
    <mergeCell ref="D105:H105"/>
    <mergeCell ref="I105:M105"/>
    <mergeCell ref="N105:R105"/>
    <mergeCell ref="S105:W105"/>
    <mergeCell ref="X105:AB105"/>
    <mergeCell ref="AC105:AF105"/>
    <mergeCell ref="AD100:AG100"/>
    <mergeCell ref="AC107:AF107"/>
    <mergeCell ref="B108:C108"/>
    <mergeCell ref="D108:H108"/>
    <mergeCell ref="I108:M108"/>
    <mergeCell ref="N108:R108"/>
    <mergeCell ref="S108:W108"/>
    <mergeCell ref="X108:AB108"/>
    <mergeCell ref="AC108:AF108"/>
    <mergeCell ref="B107:C107"/>
    <mergeCell ref="D107:H107"/>
    <mergeCell ref="I107:M107"/>
    <mergeCell ref="N107:R107"/>
    <mergeCell ref="S107:W107"/>
    <mergeCell ref="X107:AB107"/>
    <mergeCell ref="I112:M112"/>
    <mergeCell ref="N112:Q112"/>
    <mergeCell ref="R112:U112"/>
    <mergeCell ref="Z112:AC112"/>
    <mergeCell ref="I113:M113"/>
    <mergeCell ref="N113:Q113"/>
    <mergeCell ref="R113:U113"/>
    <mergeCell ref="Z113:AC113"/>
    <mergeCell ref="I110:L110"/>
    <mergeCell ref="S110:V110"/>
    <mergeCell ref="Z110:AC110"/>
    <mergeCell ref="I111:M111"/>
    <mergeCell ref="N111:Q111"/>
    <mergeCell ref="R111:U111"/>
    <mergeCell ref="Z111:AC111"/>
  </mergeCells>
  <phoneticPr fontId="9"/>
  <pageMargins left="0.59055118110236227" right="0.39370078740157483" top="0.39370078740157483" bottom="0.39370078740157483" header="0" footer="0"/>
  <pageSetup paperSize="9" scale="99" orientation="portrait" copies="9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BT113"/>
  <sheetViews>
    <sheetView view="pageBreakPreview" zoomScaleNormal="100" zoomScaleSheetLayoutView="100" workbookViewId="0">
      <selection activeCell="AA5" sqref="AA5:AG5"/>
    </sheetView>
  </sheetViews>
  <sheetFormatPr defaultColWidth="2.625" defaultRowHeight="15.6" customHeight="1" x14ac:dyDescent="0.15"/>
  <cols>
    <col min="1" max="1" width="2.625" style="69"/>
    <col min="2" max="29" width="2.625" style="4"/>
    <col min="30" max="30" width="2.625" style="4" customWidth="1"/>
    <col min="31" max="33" width="2.625" style="4"/>
    <col min="34" max="35" width="2.625" style="7"/>
    <col min="36" max="36" width="8.5" style="7" bestFit="1" customWidth="1"/>
    <col min="37" max="37" width="3.5" style="7" bestFit="1" customWidth="1"/>
    <col min="38" max="42" width="2.625" style="7"/>
    <col min="43" max="43" width="3.5" style="4" bestFit="1" customWidth="1"/>
    <col min="44" max="50" width="2.625" style="4"/>
    <col min="51" max="52" width="2.625" style="79"/>
    <col min="53" max="16384" width="2.625" style="4"/>
  </cols>
  <sheetData>
    <row r="1" spans="1:52" ht="15.6" customHeight="1" x14ac:dyDescent="0.15">
      <c r="A1" s="562" t="s">
        <v>6</v>
      </c>
      <c r="B1" s="562"/>
      <c r="C1" s="562"/>
      <c r="D1" s="562"/>
      <c r="E1" s="562"/>
      <c r="F1" s="562"/>
      <c r="G1" s="562"/>
      <c r="H1" s="562"/>
      <c r="I1" s="562"/>
      <c r="J1" s="562"/>
      <c r="K1" s="562"/>
      <c r="L1" s="562"/>
      <c r="M1" s="562"/>
      <c r="N1" s="562"/>
      <c r="O1" s="562"/>
      <c r="P1" s="562"/>
      <c r="Q1" s="562"/>
      <c r="R1" s="562"/>
      <c r="S1" s="562"/>
      <c r="T1" s="562"/>
      <c r="U1" s="562"/>
      <c r="V1" s="562"/>
      <c r="W1" s="562"/>
      <c r="X1" s="562"/>
      <c r="Y1" s="562"/>
      <c r="Z1" s="562"/>
      <c r="AA1" s="562"/>
      <c r="AB1" s="562"/>
      <c r="AC1" s="562"/>
      <c r="AD1" s="562"/>
      <c r="AE1" s="562"/>
      <c r="AF1" s="562"/>
      <c r="AG1" s="562"/>
      <c r="AH1" s="20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</row>
    <row r="2" spans="1:52" ht="15.6" customHeight="1" x14ac:dyDescent="0.15">
      <c r="A2" s="562"/>
      <c r="B2" s="562"/>
      <c r="C2" s="562"/>
      <c r="D2" s="562"/>
      <c r="E2" s="562"/>
      <c r="F2" s="562"/>
      <c r="G2" s="562"/>
      <c r="H2" s="562"/>
      <c r="I2" s="562"/>
      <c r="J2" s="562"/>
      <c r="K2" s="562"/>
      <c r="L2" s="562"/>
      <c r="M2" s="562"/>
      <c r="N2" s="562"/>
      <c r="O2" s="562"/>
      <c r="P2" s="562"/>
      <c r="Q2" s="562"/>
      <c r="R2" s="562"/>
      <c r="S2" s="562"/>
      <c r="T2" s="562"/>
      <c r="U2" s="562"/>
      <c r="V2" s="562"/>
      <c r="W2" s="562"/>
      <c r="X2" s="562"/>
      <c r="Y2" s="562"/>
      <c r="Z2" s="562"/>
      <c r="AA2" s="562"/>
      <c r="AB2" s="562"/>
      <c r="AC2" s="562"/>
      <c r="AD2" s="562"/>
      <c r="AE2" s="562"/>
      <c r="AF2" s="562"/>
      <c r="AG2" s="562"/>
      <c r="AH2" s="20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</row>
    <row r="3" spans="1:52" s="3" customFormat="1" ht="15.6" customHeight="1" x14ac:dyDescent="0.15">
      <c r="A3" s="49"/>
      <c r="B3" s="41"/>
      <c r="C3" s="42"/>
      <c r="D3" s="42"/>
      <c r="E3" s="42"/>
      <c r="F3" s="42"/>
      <c r="G3" s="42"/>
      <c r="H3" s="42"/>
      <c r="I3" s="42"/>
      <c r="J3" s="42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33"/>
      <c r="W3" s="33"/>
      <c r="X3" s="33"/>
      <c r="Y3" s="33"/>
      <c r="Z3" s="33"/>
      <c r="AA3" s="563" t="s">
        <v>107</v>
      </c>
      <c r="AB3" s="563"/>
      <c r="AC3" s="563"/>
      <c r="AD3" s="563"/>
      <c r="AE3" s="563"/>
      <c r="AF3" s="563"/>
      <c r="AG3" s="563"/>
      <c r="AH3" s="21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Y3" s="79"/>
      <c r="AZ3" s="79"/>
    </row>
    <row r="4" spans="1:52" s="3" customFormat="1" ht="15.6" customHeight="1" x14ac:dyDescent="0.15">
      <c r="A4" s="49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33"/>
      <c r="W4" s="33"/>
      <c r="X4" s="33"/>
      <c r="Y4" s="33"/>
      <c r="Z4" s="33"/>
      <c r="AA4" s="563"/>
      <c r="AB4" s="563"/>
      <c r="AC4" s="563"/>
      <c r="AD4" s="563"/>
      <c r="AE4" s="563"/>
      <c r="AF4" s="563"/>
      <c r="AG4" s="563"/>
      <c r="AH4" s="21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Y4" s="79"/>
      <c r="AZ4" s="79"/>
    </row>
    <row r="5" spans="1:52" s="3" customFormat="1" ht="15.6" customHeight="1" x14ac:dyDescent="0.15">
      <c r="A5" s="49" t="s">
        <v>66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21"/>
      <c r="W5" s="21"/>
      <c r="X5" s="21"/>
      <c r="Y5" s="21"/>
      <c r="Z5" s="21"/>
      <c r="AA5" s="891" t="s">
        <v>239</v>
      </c>
      <c r="AB5" s="564"/>
      <c r="AC5" s="564"/>
      <c r="AD5" s="564"/>
      <c r="AE5" s="564"/>
      <c r="AF5" s="564"/>
      <c r="AG5" s="564"/>
      <c r="AH5" s="21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Y5" s="79"/>
      <c r="AZ5" s="79"/>
    </row>
    <row r="6" spans="1:52" s="3" customFormat="1" ht="15.6" customHeight="1" x14ac:dyDescent="0.15">
      <c r="A6" s="49" t="s">
        <v>7</v>
      </c>
      <c r="B6" s="828" t="s">
        <v>108</v>
      </c>
      <c r="C6" s="828"/>
      <c r="D6" s="828"/>
      <c r="E6" s="35" t="s">
        <v>109</v>
      </c>
      <c r="F6" s="566">
        <v>44682</v>
      </c>
      <c r="G6" s="566"/>
      <c r="H6" s="566"/>
      <c r="I6" s="566"/>
      <c r="J6" s="566"/>
      <c r="K6" s="566"/>
      <c r="L6" s="566"/>
      <c r="M6" s="567" t="s">
        <v>111</v>
      </c>
      <c r="N6" s="567"/>
      <c r="O6" s="567"/>
      <c r="P6" s="16"/>
      <c r="Q6" s="16"/>
      <c r="R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Y6" s="79"/>
      <c r="AZ6" s="79"/>
    </row>
    <row r="7" spans="1:52" s="3" customFormat="1" ht="15.6" customHeight="1" x14ac:dyDescent="0.15">
      <c r="A7" s="49"/>
      <c r="B7" s="16"/>
      <c r="C7" s="16" t="s">
        <v>65</v>
      </c>
      <c r="D7" s="15"/>
      <c r="E7" s="16"/>
      <c r="F7" s="55"/>
      <c r="G7" s="55"/>
      <c r="H7" s="55"/>
      <c r="I7" s="824">
        <v>223794</v>
      </c>
      <c r="J7" s="824"/>
      <c r="K7" s="824"/>
      <c r="L7" s="824"/>
      <c r="M7" s="824"/>
      <c r="N7" s="55" t="s">
        <v>8</v>
      </c>
      <c r="O7" s="55"/>
      <c r="P7" s="144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Y7" s="79"/>
      <c r="AZ7" s="79"/>
    </row>
    <row r="8" spans="1:52" s="3" customFormat="1" ht="15.6" customHeight="1" x14ac:dyDescent="0.15">
      <c r="A8" s="49"/>
      <c r="B8" s="16"/>
      <c r="C8" s="16" t="s">
        <v>9</v>
      </c>
      <c r="D8" s="16"/>
      <c r="E8" s="16"/>
      <c r="F8" s="55"/>
      <c r="G8" s="55"/>
      <c r="H8" s="55"/>
      <c r="I8" s="825">
        <v>102633</v>
      </c>
      <c r="J8" s="824"/>
      <c r="K8" s="824"/>
      <c r="L8" s="824"/>
      <c r="M8" s="824"/>
      <c r="N8" s="55" t="s">
        <v>10</v>
      </c>
      <c r="O8" s="55"/>
      <c r="P8" s="16" t="s">
        <v>11</v>
      </c>
      <c r="Q8" s="16"/>
      <c r="R8" s="16"/>
      <c r="S8" s="16"/>
      <c r="T8" s="16"/>
      <c r="U8" s="16"/>
      <c r="V8" s="548">
        <f>I7/I8</f>
        <v>2.1805267311683378</v>
      </c>
      <c r="W8" s="548"/>
      <c r="X8" s="548"/>
      <c r="Y8" s="16" t="s">
        <v>12</v>
      </c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Y8" s="79"/>
      <c r="AZ8" s="79"/>
    </row>
    <row r="9" spans="1:52" s="3" customFormat="1" ht="15.6" customHeight="1" x14ac:dyDescent="0.15">
      <c r="A9" s="49"/>
      <c r="B9" s="16"/>
      <c r="C9" s="16"/>
      <c r="D9" s="16"/>
      <c r="E9" s="16"/>
      <c r="F9" s="16"/>
      <c r="G9" s="16"/>
      <c r="H9" s="16"/>
      <c r="I9" s="150"/>
      <c r="J9" s="149"/>
      <c r="K9" s="149"/>
      <c r="L9" s="149"/>
      <c r="M9" s="149"/>
      <c r="N9" s="16"/>
      <c r="O9" s="16"/>
      <c r="P9" s="16"/>
      <c r="Q9" s="16"/>
      <c r="R9" s="16"/>
      <c r="S9" s="16"/>
      <c r="T9" s="16"/>
      <c r="U9" s="16"/>
      <c r="V9" s="119"/>
      <c r="W9" s="119"/>
      <c r="X9" s="119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Y9" s="79"/>
      <c r="AZ9" s="79"/>
    </row>
    <row r="10" spans="1:52" s="3" customFormat="1" ht="15.6" customHeight="1" x14ac:dyDescent="0.15">
      <c r="A10" s="49" t="s">
        <v>5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Y10" s="79"/>
      <c r="AZ10" s="79"/>
    </row>
    <row r="11" spans="1:52" s="3" customFormat="1" ht="15.6" customHeight="1" x14ac:dyDescent="0.15">
      <c r="A11" s="49"/>
      <c r="B11" s="549" t="s">
        <v>67</v>
      </c>
      <c r="C11" s="550"/>
      <c r="D11" s="550"/>
      <c r="E11" s="550"/>
      <c r="F11" s="550"/>
      <c r="G11" s="550"/>
      <c r="H11" s="551"/>
      <c r="I11" s="555" t="s">
        <v>130</v>
      </c>
      <c r="J11" s="556"/>
      <c r="K11" s="556"/>
      <c r="L11" s="556"/>
      <c r="M11" s="557"/>
      <c r="N11" s="555" t="s">
        <v>131</v>
      </c>
      <c r="O11" s="556"/>
      <c r="P11" s="556"/>
      <c r="Q11" s="556"/>
      <c r="R11" s="557"/>
      <c r="S11" s="561" t="s">
        <v>13</v>
      </c>
      <c r="T11" s="556"/>
      <c r="U11" s="556"/>
      <c r="V11" s="556"/>
      <c r="W11" s="557"/>
      <c r="X11" s="29"/>
      <c r="Y11" s="581" t="s">
        <v>68</v>
      </c>
      <c r="Z11" s="581"/>
      <c r="AA11" s="581"/>
      <c r="AB11" s="30"/>
      <c r="AC11" s="561" t="s">
        <v>81</v>
      </c>
      <c r="AD11" s="556"/>
      <c r="AE11" s="556"/>
      <c r="AF11" s="556"/>
      <c r="AG11" s="557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Y11" s="79"/>
      <c r="AZ11" s="79"/>
    </row>
    <row r="12" spans="1:52" s="3" customFormat="1" ht="15.6" customHeight="1" x14ac:dyDescent="0.15">
      <c r="A12" s="49"/>
      <c r="B12" s="552"/>
      <c r="C12" s="553"/>
      <c r="D12" s="553"/>
      <c r="E12" s="553"/>
      <c r="F12" s="553"/>
      <c r="G12" s="553"/>
      <c r="H12" s="554"/>
      <c r="I12" s="558"/>
      <c r="J12" s="559"/>
      <c r="K12" s="559"/>
      <c r="L12" s="559"/>
      <c r="M12" s="560"/>
      <c r="N12" s="558"/>
      <c r="O12" s="559"/>
      <c r="P12" s="559"/>
      <c r="Q12" s="559"/>
      <c r="R12" s="560"/>
      <c r="S12" s="558"/>
      <c r="T12" s="559"/>
      <c r="U12" s="559"/>
      <c r="V12" s="559"/>
      <c r="W12" s="560"/>
      <c r="X12" s="31"/>
      <c r="Y12" s="581" t="s">
        <v>69</v>
      </c>
      <c r="Z12" s="581"/>
      <c r="AA12" s="581"/>
      <c r="AB12" s="32"/>
      <c r="AC12" s="558"/>
      <c r="AD12" s="559"/>
      <c r="AE12" s="559"/>
      <c r="AF12" s="559"/>
      <c r="AG12" s="560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Y12" s="79"/>
      <c r="AZ12" s="79"/>
    </row>
    <row r="13" spans="1:52" s="3" customFormat="1" ht="15.6" customHeight="1" x14ac:dyDescent="0.15">
      <c r="A13" s="49"/>
      <c r="B13" s="139" t="s">
        <v>126</v>
      </c>
      <c r="C13" s="140"/>
      <c r="D13" s="140"/>
      <c r="E13" s="140"/>
      <c r="F13" s="140"/>
      <c r="G13" s="140"/>
      <c r="H13" s="141"/>
      <c r="I13" s="570">
        <v>2329</v>
      </c>
      <c r="J13" s="571"/>
      <c r="K13" s="571"/>
      <c r="L13" s="571"/>
      <c r="M13" s="572"/>
      <c r="N13" s="570">
        <v>3076</v>
      </c>
      <c r="O13" s="571"/>
      <c r="P13" s="571"/>
      <c r="Q13" s="571"/>
      <c r="R13" s="572"/>
      <c r="S13" s="570">
        <v>28</v>
      </c>
      <c r="T13" s="571"/>
      <c r="U13" s="571"/>
      <c r="V13" s="571"/>
      <c r="W13" s="572"/>
      <c r="X13" s="582">
        <f t="shared" ref="X13:X16" si="0">I13/S13</f>
        <v>83.178571428571431</v>
      </c>
      <c r="Y13" s="583"/>
      <c r="Z13" s="583"/>
      <c r="AA13" s="583"/>
      <c r="AB13" s="34"/>
      <c r="AC13" s="584">
        <v>13.65933373002833</v>
      </c>
      <c r="AD13" s="585"/>
      <c r="AE13" s="585"/>
      <c r="AF13" s="585"/>
      <c r="AG13" s="586"/>
      <c r="AH13" s="568"/>
      <c r="AI13" s="569"/>
      <c r="AJ13" s="569"/>
      <c r="AK13" s="569"/>
      <c r="AL13" s="16"/>
      <c r="AM13" s="18"/>
      <c r="AN13" s="16"/>
      <c r="AO13" s="16"/>
      <c r="AP13" s="16"/>
      <c r="AQ13" s="16"/>
      <c r="AR13" s="16"/>
      <c r="AS13" s="16"/>
      <c r="AT13" s="16"/>
      <c r="AU13" s="16"/>
      <c r="AY13" s="79"/>
      <c r="AZ13" s="79"/>
    </row>
    <row r="14" spans="1:52" s="3" customFormat="1" ht="15.6" customHeight="1" x14ac:dyDescent="0.15">
      <c r="A14" s="49"/>
      <c r="B14" s="139" t="s">
        <v>129</v>
      </c>
      <c r="C14" s="140"/>
      <c r="D14" s="140"/>
      <c r="E14" s="140"/>
      <c r="F14" s="140"/>
      <c r="G14" s="140"/>
      <c r="H14" s="141"/>
      <c r="I14" s="570">
        <v>2409</v>
      </c>
      <c r="J14" s="571"/>
      <c r="K14" s="571"/>
      <c r="L14" s="571"/>
      <c r="M14" s="572"/>
      <c r="N14" s="570">
        <v>3167</v>
      </c>
      <c r="O14" s="571"/>
      <c r="P14" s="571"/>
      <c r="Q14" s="571"/>
      <c r="R14" s="572"/>
      <c r="S14" s="573">
        <v>28</v>
      </c>
      <c r="T14" s="574"/>
      <c r="U14" s="574"/>
      <c r="V14" s="574"/>
      <c r="W14" s="575"/>
      <c r="X14" s="576">
        <f t="shared" si="0"/>
        <v>86.035714285714292</v>
      </c>
      <c r="Y14" s="577"/>
      <c r="Z14" s="577"/>
      <c r="AA14" s="577"/>
      <c r="AB14" s="23"/>
      <c r="AC14" s="578">
        <v>14.09717121808996</v>
      </c>
      <c r="AD14" s="579"/>
      <c r="AE14" s="579"/>
      <c r="AF14" s="579"/>
      <c r="AG14" s="580"/>
      <c r="AH14" s="568"/>
      <c r="AI14" s="569"/>
      <c r="AJ14" s="569"/>
      <c r="AK14" s="569"/>
      <c r="AL14" s="16"/>
      <c r="AM14" s="18"/>
      <c r="AN14" s="16"/>
      <c r="AO14" s="16"/>
      <c r="AP14" s="16"/>
      <c r="AQ14" s="16"/>
      <c r="AR14" s="16"/>
      <c r="AS14" s="16"/>
      <c r="AT14" s="16"/>
      <c r="AU14" s="16"/>
      <c r="AY14" s="79"/>
      <c r="AZ14" s="79"/>
    </row>
    <row r="15" spans="1:52" s="3" customFormat="1" ht="15.6" customHeight="1" x14ac:dyDescent="0.15">
      <c r="A15" s="49"/>
      <c r="B15" s="589" t="s">
        <v>144</v>
      </c>
      <c r="C15" s="589"/>
      <c r="D15" s="589"/>
      <c r="E15" s="589"/>
      <c r="F15" s="589"/>
      <c r="G15" s="589"/>
      <c r="H15" s="589"/>
      <c r="I15" s="570">
        <v>2478</v>
      </c>
      <c r="J15" s="571"/>
      <c r="K15" s="571"/>
      <c r="L15" s="571"/>
      <c r="M15" s="572"/>
      <c r="N15" s="570">
        <v>3222</v>
      </c>
      <c r="O15" s="571"/>
      <c r="P15" s="571"/>
      <c r="Q15" s="571"/>
      <c r="R15" s="572"/>
      <c r="S15" s="570">
        <v>29</v>
      </c>
      <c r="T15" s="571"/>
      <c r="U15" s="571"/>
      <c r="V15" s="571"/>
      <c r="W15" s="572"/>
      <c r="X15" s="576">
        <f t="shared" si="0"/>
        <v>85.448275862068968</v>
      </c>
      <c r="Y15" s="577"/>
      <c r="Z15" s="577"/>
      <c r="AA15" s="577"/>
      <c r="AB15" s="23"/>
      <c r="AC15" s="578">
        <v>14.375008365344719</v>
      </c>
      <c r="AD15" s="579"/>
      <c r="AE15" s="579"/>
      <c r="AF15" s="579"/>
      <c r="AG15" s="580"/>
      <c r="AH15" s="587"/>
      <c r="AI15" s="588"/>
      <c r="AJ15" s="588"/>
      <c r="AK15" s="588"/>
      <c r="AL15" s="14"/>
      <c r="AM15" s="18"/>
      <c r="AN15" s="14"/>
      <c r="AO15" s="16"/>
      <c r="AP15" s="16"/>
      <c r="AQ15" s="16"/>
      <c r="AR15" s="16"/>
      <c r="AS15" s="16"/>
      <c r="AT15" s="16"/>
      <c r="AU15" s="16"/>
      <c r="AY15" s="79"/>
      <c r="AZ15" s="79"/>
    </row>
    <row r="16" spans="1:52" s="3" customFormat="1" ht="15.6" customHeight="1" x14ac:dyDescent="0.15">
      <c r="A16" s="49"/>
      <c r="B16" s="589" t="s">
        <v>148</v>
      </c>
      <c r="C16" s="589"/>
      <c r="D16" s="589"/>
      <c r="E16" s="589"/>
      <c r="F16" s="589"/>
      <c r="G16" s="589"/>
      <c r="H16" s="589"/>
      <c r="I16" s="570">
        <v>2523</v>
      </c>
      <c r="J16" s="571"/>
      <c r="K16" s="571"/>
      <c r="L16" s="571"/>
      <c r="M16" s="572"/>
      <c r="N16" s="570">
        <v>3258</v>
      </c>
      <c r="O16" s="571"/>
      <c r="P16" s="571"/>
      <c r="Q16" s="571"/>
      <c r="R16" s="572"/>
      <c r="S16" s="570">
        <v>30</v>
      </c>
      <c r="T16" s="571"/>
      <c r="U16" s="571"/>
      <c r="V16" s="571"/>
      <c r="W16" s="572"/>
      <c r="X16" s="576">
        <f t="shared" si="0"/>
        <v>84.1</v>
      </c>
      <c r="Y16" s="577"/>
      <c r="Z16" s="577"/>
      <c r="AA16" s="577"/>
      <c r="AB16" s="23"/>
      <c r="AC16" s="578">
        <v>14.560112977181111</v>
      </c>
      <c r="AD16" s="579"/>
      <c r="AE16" s="579"/>
      <c r="AF16" s="579"/>
      <c r="AG16" s="580"/>
      <c r="AH16" s="587"/>
      <c r="AI16" s="588"/>
      <c r="AJ16" s="588"/>
      <c r="AK16" s="588"/>
      <c r="AL16" s="14"/>
      <c r="AM16" s="18"/>
      <c r="AN16" s="14"/>
      <c r="AO16" s="14"/>
      <c r="AP16" s="14"/>
      <c r="AQ16" s="14"/>
      <c r="AR16" s="14"/>
      <c r="AS16" s="14"/>
      <c r="AT16" s="14"/>
      <c r="AU16" s="14"/>
      <c r="AY16" s="79"/>
      <c r="AZ16" s="79"/>
    </row>
    <row r="17" spans="1:52" s="3" customFormat="1" ht="15.6" customHeight="1" x14ac:dyDescent="0.15">
      <c r="A17" s="49"/>
      <c r="B17" s="604" t="s">
        <v>169</v>
      </c>
      <c r="C17" s="604"/>
      <c r="D17" s="604"/>
      <c r="E17" s="604"/>
      <c r="F17" s="604"/>
      <c r="G17" s="604"/>
      <c r="H17" s="604"/>
      <c r="I17" s="605">
        <v>2564</v>
      </c>
      <c r="J17" s="606"/>
      <c r="K17" s="606"/>
      <c r="L17" s="606"/>
      <c r="M17" s="607"/>
      <c r="N17" s="605">
        <v>3302</v>
      </c>
      <c r="O17" s="606"/>
      <c r="P17" s="606"/>
      <c r="Q17" s="606"/>
      <c r="R17" s="607"/>
      <c r="S17" s="570">
        <v>31</v>
      </c>
      <c r="T17" s="571"/>
      <c r="U17" s="571"/>
      <c r="V17" s="571"/>
      <c r="W17" s="572"/>
      <c r="X17" s="576">
        <f>I17/S17</f>
        <v>82.709677419354833</v>
      </c>
      <c r="Y17" s="577"/>
      <c r="Z17" s="577"/>
      <c r="AA17" s="577"/>
      <c r="AB17" s="23"/>
      <c r="AC17" s="578">
        <v>14.773652608878509</v>
      </c>
      <c r="AD17" s="579"/>
      <c r="AE17" s="579"/>
      <c r="AF17" s="579"/>
      <c r="AG17" s="580"/>
      <c r="AH17" s="841"/>
      <c r="AI17" s="842"/>
      <c r="AJ17" s="842"/>
      <c r="AK17" s="842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8"/>
      <c r="AX17" s="596"/>
      <c r="AY17" s="596"/>
      <c r="AZ17" s="79"/>
    </row>
    <row r="18" spans="1:52" s="3" customFormat="1" ht="15.6" customHeight="1" x14ac:dyDescent="0.15">
      <c r="A18" s="49"/>
      <c r="B18" s="597" t="s">
        <v>170</v>
      </c>
      <c r="C18" s="597"/>
      <c r="D18" s="597"/>
      <c r="E18" s="597"/>
      <c r="F18" s="597"/>
      <c r="G18" s="597"/>
      <c r="H18" s="597"/>
      <c r="I18" s="598">
        <v>2564</v>
      </c>
      <c r="J18" s="599"/>
      <c r="K18" s="599"/>
      <c r="L18" s="599"/>
      <c r="M18" s="600"/>
      <c r="N18" s="598">
        <v>3293</v>
      </c>
      <c r="O18" s="599"/>
      <c r="P18" s="599"/>
      <c r="Q18" s="599"/>
      <c r="R18" s="600"/>
      <c r="S18" s="570">
        <v>31</v>
      </c>
      <c r="T18" s="571"/>
      <c r="U18" s="571"/>
      <c r="V18" s="571"/>
      <c r="W18" s="572"/>
      <c r="X18" s="576">
        <f>I18/S18</f>
        <v>82.709677419354833</v>
      </c>
      <c r="Y18" s="577"/>
      <c r="Z18" s="577"/>
      <c r="AA18" s="577"/>
      <c r="AB18" s="23"/>
      <c r="AC18" s="838">
        <v>14.71442487287416</v>
      </c>
      <c r="AD18" s="839"/>
      <c r="AE18" s="839"/>
      <c r="AF18" s="839"/>
      <c r="AG18" s="840"/>
      <c r="AH18" s="841"/>
      <c r="AI18" s="843"/>
      <c r="AJ18" s="843"/>
      <c r="AK18" s="843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8"/>
      <c r="AX18" s="121"/>
      <c r="AY18" s="121"/>
      <c r="AZ18" s="79"/>
    </row>
    <row r="19" spans="1:52" s="1" customFormat="1" ht="15.6" customHeight="1" x14ac:dyDescent="0.15">
      <c r="A19" s="49"/>
      <c r="B19" s="228"/>
      <c r="C19" s="14"/>
      <c r="D19" s="590" t="s">
        <v>79</v>
      </c>
      <c r="E19" s="590"/>
      <c r="F19" s="590"/>
      <c r="G19" s="590"/>
      <c r="H19" s="590"/>
      <c r="I19" s="591">
        <v>89</v>
      </c>
      <c r="J19" s="592"/>
      <c r="K19" s="592"/>
      <c r="L19" s="592"/>
      <c r="M19" s="593"/>
      <c r="N19" s="594">
        <v>177</v>
      </c>
      <c r="O19" s="594"/>
      <c r="P19" s="594"/>
      <c r="Q19" s="594"/>
      <c r="R19" s="594"/>
      <c r="S19" s="144"/>
      <c r="T19" s="18"/>
      <c r="U19" s="16"/>
      <c r="V19" s="16"/>
      <c r="W19" s="16"/>
      <c r="X19" s="16"/>
      <c r="Y19" s="16"/>
      <c r="Z19" s="16"/>
      <c r="AA19" s="16"/>
      <c r="AB19" s="120"/>
      <c r="AC19" s="120"/>
      <c r="AD19" s="120"/>
      <c r="AE19" s="120"/>
      <c r="AF19" s="16"/>
      <c r="AG19" s="16"/>
      <c r="AH19" s="16"/>
      <c r="AI19" s="71"/>
      <c r="AJ19" s="16"/>
      <c r="AK19" s="16"/>
      <c r="AL19" s="16"/>
      <c r="AM19" s="16"/>
      <c r="AN19" s="16"/>
      <c r="AO19" s="16"/>
      <c r="AP19" s="13"/>
      <c r="AY19" s="130"/>
      <c r="AZ19" s="130"/>
    </row>
    <row r="20" spans="1:52" s="1" customFormat="1" ht="15.6" customHeight="1" x14ac:dyDescent="0.15">
      <c r="A20" s="49"/>
      <c r="B20" s="144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545"/>
      <c r="AI20" s="545"/>
      <c r="AJ20" s="545"/>
      <c r="AK20" s="545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Y20" s="130"/>
      <c r="AZ20" s="130"/>
    </row>
    <row r="21" spans="1:52" s="14" customFormat="1" ht="15.6" customHeight="1" x14ac:dyDescent="0.15">
      <c r="A21" s="50" t="s">
        <v>124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24"/>
      <c r="X21" s="24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Y21" s="80"/>
      <c r="AZ21" s="80"/>
    </row>
    <row r="22" spans="1:52" s="14" customFormat="1" ht="15.6" customHeight="1" x14ac:dyDescent="0.15">
      <c r="A22" s="51" t="s">
        <v>171</v>
      </c>
      <c r="B22" s="25"/>
      <c r="C22" s="25"/>
      <c r="D22" s="133"/>
      <c r="E22" s="133"/>
      <c r="F22" s="133"/>
      <c r="G22" s="133"/>
      <c r="H22" s="22"/>
      <c r="I22" s="133"/>
      <c r="J22" s="133"/>
      <c r="K22" s="133"/>
      <c r="L22" s="1" t="s">
        <v>73</v>
      </c>
      <c r="M22" s="22"/>
      <c r="N22" s="133"/>
      <c r="O22" s="133"/>
      <c r="P22" s="133"/>
      <c r="Q22" s="133"/>
      <c r="R22" s="22"/>
      <c r="S22" s="147"/>
      <c r="T22" s="133"/>
      <c r="U22" s="133"/>
      <c r="V22" s="148"/>
      <c r="W22" s="148"/>
      <c r="X22" s="26"/>
      <c r="Y22" s="147"/>
      <c r="Z22" s="147"/>
      <c r="AA22" s="147"/>
      <c r="AB22" s="148"/>
      <c r="AC22" s="133"/>
      <c r="AD22" s="133"/>
      <c r="AE22" s="133"/>
      <c r="AF22" s="133"/>
      <c r="AG22" s="133"/>
      <c r="AH22" s="24"/>
      <c r="AI22" s="24"/>
      <c r="AJ22" s="24"/>
      <c r="AK22" s="24"/>
      <c r="AL22" s="24"/>
      <c r="AM22" s="24"/>
      <c r="AY22" s="80"/>
      <c r="AZ22" s="80"/>
    </row>
    <row r="23" spans="1:52" s="14" customFormat="1" ht="15.6" customHeight="1" x14ac:dyDescent="0.15">
      <c r="A23" s="52"/>
      <c r="B23" s="595" t="s">
        <v>14</v>
      </c>
      <c r="C23" s="595"/>
      <c r="D23" s="595" t="s">
        <v>15</v>
      </c>
      <c r="E23" s="595"/>
      <c r="F23" s="595"/>
      <c r="G23" s="595"/>
      <c r="H23" s="595"/>
      <c r="I23" s="595" t="s">
        <v>16</v>
      </c>
      <c r="J23" s="595"/>
      <c r="K23" s="595"/>
      <c r="L23" s="595"/>
      <c r="M23" s="595"/>
      <c r="N23" s="595" t="s">
        <v>17</v>
      </c>
      <c r="O23" s="595"/>
      <c r="P23" s="595"/>
      <c r="Q23" s="595"/>
      <c r="R23" s="595"/>
      <c r="S23" s="608" t="s">
        <v>18</v>
      </c>
      <c r="T23" s="609"/>
      <c r="U23" s="609"/>
      <c r="V23" s="609"/>
      <c r="W23" s="609"/>
      <c r="X23" s="610"/>
      <c r="Y23" s="608" t="s">
        <v>19</v>
      </c>
      <c r="Z23" s="609"/>
      <c r="AA23" s="609"/>
      <c r="AB23" s="609"/>
      <c r="AC23" s="609"/>
      <c r="AD23" s="610"/>
      <c r="AE23" s="608" t="s">
        <v>72</v>
      </c>
      <c r="AF23" s="609"/>
      <c r="AG23" s="610"/>
      <c r="AH23" s="13"/>
      <c r="AI23" s="13"/>
      <c r="AJ23" s="13"/>
      <c r="AK23" s="13"/>
      <c r="AL23" s="13"/>
      <c r="AM23" s="13"/>
      <c r="AY23" s="80"/>
      <c r="AZ23" s="80"/>
    </row>
    <row r="24" spans="1:52" s="14" customFormat="1" ht="15.6" customHeight="1" x14ac:dyDescent="0.15">
      <c r="A24" s="49"/>
      <c r="B24" s="611" t="s">
        <v>9</v>
      </c>
      <c r="C24" s="611"/>
      <c r="D24" s="612">
        <v>365</v>
      </c>
      <c r="E24" s="612"/>
      <c r="F24" s="612"/>
      <c r="G24" s="612"/>
      <c r="H24" s="612"/>
      <c r="I24" s="612">
        <f>SUM(L25:M28)</f>
        <v>29</v>
      </c>
      <c r="J24" s="612"/>
      <c r="K24" s="612"/>
      <c r="L24" s="612"/>
      <c r="M24" s="612"/>
      <c r="N24" s="612">
        <f>SUM(Q25:R29)</f>
        <v>20</v>
      </c>
      <c r="O24" s="612"/>
      <c r="P24" s="612"/>
      <c r="Q24" s="612"/>
      <c r="R24" s="612"/>
      <c r="S24" s="613">
        <v>327</v>
      </c>
      <c r="T24" s="614"/>
      <c r="U24" s="614"/>
      <c r="V24" s="614"/>
      <c r="W24" s="614"/>
      <c r="X24" s="615"/>
      <c r="Y24" s="613">
        <v>286</v>
      </c>
      <c r="Z24" s="614"/>
      <c r="AA24" s="614"/>
      <c r="AB24" s="614"/>
      <c r="AC24" s="614"/>
      <c r="AD24" s="615"/>
      <c r="AE24" s="613">
        <f>S24-Y24</f>
        <v>41</v>
      </c>
      <c r="AF24" s="614"/>
      <c r="AG24" s="615"/>
      <c r="AH24" s="16"/>
      <c r="AI24" s="13"/>
      <c r="AJ24" s="13"/>
      <c r="AK24" s="16"/>
      <c r="AL24" s="16"/>
      <c r="AM24" s="16"/>
      <c r="AY24" s="80"/>
      <c r="AZ24" s="80"/>
    </row>
    <row r="25" spans="1:52" s="14" customFormat="1" ht="15.6" customHeight="1" x14ac:dyDescent="0.15">
      <c r="A25" s="49"/>
      <c r="B25" s="632" t="s">
        <v>21</v>
      </c>
      <c r="C25" s="633"/>
      <c r="D25" s="624"/>
      <c r="E25" s="625"/>
      <c r="F25" s="625"/>
      <c r="G25" s="626"/>
      <c r="H25" s="627"/>
      <c r="I25" s="57" t="s">
        <v>22</v>
      </c>
      <c r="J25" s="58"/>
      <c r="K25" s="58"/>
      <c r="L25" s="622">
        <v>8</v>
      </c>
      <c r="M25" s="623"/>
      <c r="N25" s="57" t="s">
        <v>62</v>
      </c>
      <c r="O25" s="58"/>
      <c r="P25" s="58"/>
      <c r="Q25" s="622">
        <v>13</v>
      </c>
      <c r="R25" s="623"/>
      <c r="S25" s="126" t="s">
        <v>23</v>
      </c>
      <c r="T25" s="127"/>
      <c r="U25" s="127"/>
      <c r="V25" s="127"/>
      <c r="W25" s="622">
        <v>54</v>
      </c>
      <c r="X25" s="623"/>
      <c r="Y25" s="57" t="s">
        <v>97</v>
      </c>
      <c r="Z25" s="127"/>
      <c r="AA25" s="127"/>
      <c r="AB25" s="127"/>
      <c r="AC25" s="622">
        <v>0</v>
      </c>
      <c r="AD25" s="623"/>
      <c r="AE25" s="136"/>
      <c r="AF25" s="137"/>
      <c r="AG25" s="5"/>
      <c r="AH25" s="16"/>
      <c r="AI25" s="13"/>
      <c r="AJ25" s="13"/>
      <c r="AK25" s="16"/>
      <c r="AL25" s="16"/>
      <c r="AM25" s="16"/>
      <c r="AY25" s="80"/>
      <c r="AZ25" s="80"/>
    </row>
    <row r="26" spans="1:52" s="14" customFormat="1" ht="15.6" customHeight="1" x14ac:dyDescent="0.15">
      <c r="A26" s="49"/>
      <c r="B26" s="634"/>
      <c r="C26" s="635"/>
      <c r="D26" s="620"/>
      <c r="E26" s="621"/>
      <c r="F26" s="621"/>
      <c r="G26" s="621"/>
      <c r="H26" s="59"/>
      <c r="I26" s="60" t="s">
        <v>0</v>
      </c>
      <c r="J26" s="61"/>
      <c r="K26" s="61"/>
      <c r="L26" s="616">
        <v>2</v>
      </c>
      <c r="M26" s="617"/>
      <c r="N26" s="60" t="s">
        <v>3</v>
      </c>
      <c r="O26" s="61"/>
      <c r="P26" s="61"/>
      <c r="Q26" s="616">
        <v>0</v>
      </c>
      <c r="R26" s="617"/>
      <c r="S26" s="124" t="s">
        <v>90</v>
      </c>
      <c r="T26" s="125"/>
      <c r="U26" s="125"/>
      <c r="V26" s="125"/>
      <c r="W26" s="616">
        <v>1</v>
      </c>
      <c r="X26" s="617"/>
      <c r="Y26" s="60" t="s">
        <v>4</v>
      </c>
      <c r="Z26" s="61"/>
      <c r="AA26" s="61"/>
      <c r="AB26" s="61"/>
      <c r="AC26" s="616">
        <v>105</v>
      </c>
      <c r="AD26" s="617"/>
      <c r="AE26" s="134"/>
      <c r="AF26" s="135"/>
      <c r="AG26" s="6"/>
      <c r="AH26" s="16"/>
      <c r="AI26" s="13"/>
      <c r="AJ26" s="13"/>
      <c r="AK26" s="16"/>
      <c r="AL26" s="16"/>
      <c r="AM26" s="16"/>
      <c r="AY26" s="80"/>
      <c r="AZ26" s="80"/>
    </row>
    <row r="27" spans="1:52" s="14" customFormat="1" ht="15.6" customHeight="1" x14ac:dyDescent="0.15">
      <c r="A27" s="49"/>
      <c r="B27" s="634"/>
      <c r="C27" s="635"/>
      <c r="D27" s="620"/>
      <c r="E27" s="621"/>
      <c r="F27" s="621"/>
      <c r="G27" s="621"/>
      <c r="H27" s="59"/>
      <c r="I27" s="60" t="s">
        <v>61</v>
      </c>
      <c r="J27" s="61"/>
      <c r="K27" s="61"/>
      <c r="L27" s="616">
        <v>4</v>
      </c>
      <c r="M27" s="617"/>
      <c r="N27" s="60" t="s">
        <v>0</v>
      </c>
      <c r="O27" s="61"/>
      <c r="P27" s="61"/>
      <c r="Q27" s="616">
        <v>0</v>
      </c>
      <c r="R27" s="617"/>
      <c r="S27" s="124" t="s">
        <v>91</v>
      </c>
      <c r="T27" s="125"/>
      <c r="U27" s="125"/>
      <c r="V27" s="125"/>
      <c r="W27" s="616">
        <v>9</v>
      </c>
      <c r="X27" s="617"/>
      <c r="Y27" s="60" t="s">
        <v>2</v>
      </c>
      <c r="Z27" s="62"/>
      <c r="AA27" s="62"/>
      <c r="AB27" s="62"/>
      <c r="AC27" s="616">
        <v>17</v>
      </c>
      <c r="AD27" s="617"/>
      <c r="AE27" s="134"/>
      <c r="AF27" s="135"/>
      <c r="AG27" s="6"/>
      <c r="AH27" s="16"/>
      <c r="AI27" s="13"/>
      <c r="AJ27" s="13"/>
      <c r="AK27" s="16"/>
      <c r="AL27" s="16"/>
      <c r="AM27" s="16"/>
      <c r="AQ27" s="18"/>
      <c r="AY27" s="80"/>
      <c r="AZ27" s="80"/>
    </row>
    <row r="28" spans="1:52" s="14" customFormat="1" ht="15.6" customHeight="1" x14ac:dyDescent="0.15">
      <c r="A28" s="49"/>
      <c r="B28" s="634"/>
      <c r="C28" s="635"/>
      <c r="D28" s="620"/>
      <c r="E28" s="621"/>
      <c r="F28" s="621"/>
      <c r="G28" s="621"/>
      <c r="H28" s="59"/>
      <c r="I28" s="60" t="s">
        <v>60</v>
      </c>
      <c r="J28" s="61"/>
      <c r="K28" s="61"/>
      <c r="L28" s="616">
        <v>15</v>
      </c>
      <c r="M28" s="617"/>
      <c r="N28" s="60" t="s">
        <v>4</v>
      </c>
      <c r="O28" s="61"/>
      <c r="P28" s="61"/>
      <c r="Q28" s="616">
        <v>0</v>
      </c>
      <c r="R28" s="617"/>
      <c r="S28" s="124" t="s">
        <v>92</v>
      </c>
      <c r="T28" s="125"/>
      <c r="U28" s="125"/>
      <c r="V28" s="125"/>
      <c r="W28" s="616">
        <v>54</v>
      </c>
      <c r="X28" s="617"/>
      <c r="Y28" s="60" t="s">
        <v>98</v>
      </c>
      <c r="Z28" s="61"/>
      <c r="AA28" s="61"/>
      <c r="AB28" s="61"/>
      <c r="AC28" s="616">
        <v>48</v>
      </c>
      <c r="AD28" s="617"/>
      <c r="AE28" s="134"/>
      <c r="AF28" s="135"/>
      <c r="AG28" s="6"/>
      <c r="AH28" s="16"/>
      <c r="AI28" s="13"/>
      <c r="AJ28" s="13"/>
      <c r="AK28" s="16"/>
      <c r="AL28" s="16"/>
      <c r="AM28" s="16"/>
      <c r="AY28" s="80"/>
      <c r="AZ28" s="80"/>
    </row>
    <row r="29" spans="1:52" s="14" customFormat="1" ht="15.6" customHeight="1" x14ac:dyDescent="0.15">
      <c r="A29" s="49"/>
      <c r="B29" s="634"/>
      <c r="C29" s="635"/>
      <c r="D29" s="620"/>
      <c r="E29" s="621"/>
      <c r="F29" s="621"/>
      <c r="G29" s="621"/>
      <c r="H29" s="59"/>
      <c r="I29" s="60"/>
      <c r="J29" s="61"/>
      <c r="K29" s="61"/>
      <c r="L29" s="61"/>
      <c r="M29" s="63"/>
      <c r="N29" s="60" t="s">
        <v>60</v>
      </c>
      <c r="O29" s="61"/>
      <c r="P29" s="61"/>
      <c r="Q29" s="616">
        <v>7</v>
      </c>
      <c r="R29" s="617"/>
      <c r="S29" s="124" t="s">
        <v>94</v>
      </c>
      <c r="T29" s="125"/>
      <c r="U29" s="125"/>
      <c r="V29" s="125"/>
      <c r="W29" s="616">
        <v>16</v>
      </c>
      <c r="X29" s="617"/>
      <c r="Y29" s="60" t="s">
        <v>99</v>
      </c>
      <c r="Z29" s="61"/>
      <c r="AA29" s="61"/>
      <c r="AB29" s="61"/>
      <c r="AC29" s="618">
        <v>3</v>
      </c>
      <c r="AD29" s="619"/>
      <c r="AE29" s="134"/>
      <c r="AF29" s="135"/>
      <c r="AG29" s="6"/>
      <c r="AH29" s="16"/>
      <c r="AI29" s="13"/>
      <c r="AJ29" s="13"/>
      <c r="AK29" s="16"/>
      <c r="AL29" s="16"/>
      <c r="AM29" s="16"/>
      <c r="AY29" s="80"/>
      <c r="AZ29" s="80"/>
    </row>
    <row r="30" spans="1:52" s="14" customFormat="1" ht="15.6" customHeight="1" x14ac:dyDescent="0.15">
      <c r="A30" s="49"/>
      <c r="B30" s="634"/>
      <c r="C30" s="635"/>
      <c r="D30" s="124"/>
      <c r="E30" s="125"/>
      <c r="F30" s="125"/>
      <c r="G30" s="125"/>
      <c r="H30" s="59"/>
      <c r="I30" s="60"/>
      <c r="J30" s="61"/>
      <c r="K30" s="61"/>
      <c r="L30" s="61"/>
      <c r="M30" s="63"/>
      <c r="N30" s="60"/>
      <c r="O30" s="61"/>
      <c r="P30" s="61"/>
      <c r="Q30" s="122"/>
      <c r="R30" s="123"/>
      <c r="S30" s="124" t="s">
        <v>93</v>
      </c>
      <c r="T30" s="125"/>
      <c r="U30" s="125"/>
      <c r="V30" s="125"/>
      <c r="W30" s="616">
        <v>0</v>
      </c>
      <c r="X30" s="617"/>
      <c r="Y30" s="60" t="s">
        <v>100</v>
      </c>
      <c r="Z30" s="61"/>
      <c r="AA30" s="61"/>
      <c r="AB30" s="61"/>
      <c r="AC30" s="618">
        <v>12</v>
      </c>
      <c r="AD30" s="619"/>
      <c r="AE30" s="134"/>
      <c r="AF30" s="135"/>
      <c r="AG30" s="6"/>
      <c r="AH30" s="16"/>
      <c r="AI30" s="13"/>
      <c r="AJ30" s="13"/>
      <c r="AK30" s="16"/>
      <c r="AL30" s="16"/>
      <c r="AM30" s="16"/>
      <c r="AY30" s="80"/>
      <c r="AZ30" s="80"/>
    </row>
    <row r="31" spans="1:52" s="14" customFormat="1" ht="15.6" customHeight="1" x14ac:dyDescent="0.15">
      <c r="A31" s="49"/>
      <c r="B31" s="634"/>
      <c r="C31" s="635"/>
      <c r="D31" s="124"/>
      <c r="E31" s="125"/>
      <c r="F31" s="125"/>
      <c r="G31" s="125"/>
      <c r="H31" s="59"/>
      <c r="I31" s="60"/>
      <c r="J31" s="61"/>
      <c r="K31" s="61"/>
      <c r="L31" s="61"/>
      <c r="M31" s="63"/>
      <c r="N31" s="60"/>
      <c r="O31" s="61"/>
      <c r="P31" s="61"/>
      <c r="Q31" s="122"/>
      <c r="R31" s="123"/>
      <c r="S31" s="124" t="s">
        <v>95</v>
      </c>
      <c r="T31" s="125"/>
      <c r="U31" s="125"/>
      <c r="V31" s="125"/>
      <c r="W31" s="616">
        <v>29</v>
      </c>
      <c r="X31" s="617"/>
      <c r="Y31" s="60" t="s">
        <v>101</v>
      </c>
      <c r="Z31" s="61"/>
      <c r="AA31" s="61"/>
      <c r="AB31" s="61"/>
      <c r="AC31" s="618">
        <v>4</v>
      </c>
      <c r="AD31" s="619"/>
      <c r="AE31" s="134"/>
      <c r="AF31" s="135"/>
      <c r="AG31" s="6"/>
      <c r="AH31" s="16"/>
      <c r="AI31" s="16"/>
      <c r="AJ31" s="16"/>
      <c r="AK31" s="16"/>
      <c r="AL31" s="16"/>
      <c r="AM31" s="16"/>
      <c r="AY31" s="80"/>
      <c r="AZ31" s="80"/>
    </row>
    <row r="32" spans="1:52" s="14" customFormat="1" ht="15.6" customHeight="1" x14ac:dyDescent="0.15">
      <c r="A32" s="49"/>
      <c r="B32" s="634"/>
      <c r="C32" s="635"/>
      <c r="D32" s="124"/>
      <c r="E32" s="125"/>
      <c r="F32" s="125"/>
      <c r="G32" s="125"/>
      <c r="H32" s="59"/>
      <c r="I32" s="60"/>
      <c r="J32" s="61"/>
      <c r="K32" s="61"/>
      <c r="L32" s="61"/>
      <c r="M32" s="63"/>
      <c r="N32" s="60"/>
      <c r="O32" s="61"/>
      <c r="P32" s="61"/>
      <c r="Q32" s="122"/>
      <c r="R32" s="123"/>
      <c r="S32" s="124" t="s">
        <v>96</v>
      </c>
      <c r="T32" s="125"/>
      <c r="U32" s="125"/>
      <c r="V32" s="125"/>
      <c r="W32" s="616">
        <v>1</v>
      </c>
      <c r="X32" s="617"/>
      <c r="Y32" s="60" t="s">
        <v>103</v>
      </c>
      <c r="Z32" s="61"/>
      <c r="AA32" s="61"/>
      <c r="AB32" s="61"/>
      <c r="AC32" s="618">
        <v>22</v>
      </c>
      <c r="AD32" s="619"/>
      <c r="AE32" s="134"/>
      <c r="AF32" s="135"/>
      <c r="AG32" s="6"/>
      <c r="AH32" s="16"/>
      <c r="AI32" s="16"/>
      <c r="AJ32" s="16"/>
      <c r="AK32" s="16"/>
      <c r="AL32" s="16"/>
      <c r="AM32" s="16"/>
      <c r="AY32" s="80"/>
      <c r="AZ32" s="80"/>
    </row>
    <row r="33" spans="1:72" s="14" customFormat="1" ht="15.6" customHeight="1" x14ac:dyDescent="0.15">
      <c r="A33" s="49"/>
      <c r="B33" s="634"/>
      <c r="C33" s="635"/>
      <c r="D33" s="124"/>
      <c r="E33" s="125"/>
      <c r="F33" s="125"/>
      <c r="G33" s="125"/>
      <c r="H33" s="59"/>
      <c r="I33" s="60"/>
      <c r="J33" s="61"/>
      <c r="K33" s="61"/>
      <c r="L33" s="61"/>
      <c r="M33" s="63"/>
      <c r="N33" s="60"/>
      <c r="O33" s="61"/>
      <c r="P33" s="61"/>
      <c r="Q33" s="122"/>
      <c r="R33" s="123"/>
      <c r="S33" s="124" t="s">
        <v>80</v>
      </c>
      <c r="T33" s="125"/>
      <c r="U33" s="125"/>
      <c r="V33" s="125"/>
      <c r="W33" s="616">
        <v>112</v>
      </c>
      <c r="X33" s="617"/>
      <c r="Y33" s="60" t="s">
        <v>104</v>
      </c>
      <c r="Z33" s="61"/>
      <c r="AA33" s="61"/>
      <c r="AB33" s="61"/>
      <c r="AC33" s="618">
        <v>1</v>
      </c>
      <c r="AD33" s="619"/>
      <c r="AE33" s="134"/>
      <c r="AF33" s="135"/>
      <c r="AG33" s="6"/>
      <c r="AH33" s="16"/>
      <c r="AI33" s="16"/>
      <c r="AJ33" s="16"/>
      <c r="AK33" s="16"/>
      <c r="AL33" s="16"/>
      <c r="AM33" s="16"/>
      <c r="AY33" s="80"/>
      <c r="AZ33" s="80"/>
    </row>
    <row r="34" spans="1:72" s="3" customFormat="1" ht="15.6" customHeight="1" x14ac:dyDescent="0.15">
      <c r="A34" s="49"/>
      <c r="B34" s="634"/>
      <c r="C34" s="635"/>
      <c r="D34" s="124"/>
      <c r="E34" s="125"/>
      <c r="F34" s="125"/>
      <c r="G34" s="125"/>
      <c r="H34" s="59"/>
      <c r="I34" s="60"/>
      <c r="J34" s="61"/>
      <c r="K34" s="61"/>
      <c r="L34" s="61"/>
      <c r="M34" s="63"/>
      <c r="N34" s="60"/>
      <c r="O34" s="61"/>
      <c r="P34" s="61"/>
      <c r="Q34" s="122"/>
      <c r="R34" s="123"/>
      <c r="S34" s="124" t="s">
        <v>102</v>
      </c>
      <c r="T34" s="125"/>
      <c r="U34" s="125"/>
      <c r="V34" s="125"/>
      <c r="W34" s="616">
        <v>3</v>
      </c>
      <c r="X34" s="617"/>
      <c r="Y34" s="60" t="s">
        <v>105</v>
      </c>
      <c r="Z34" s="61"/>
      <c r="AA34" s="61"/>
      <c r="AB34" s="61"/>
      <c r="AC34" s="618">
        <v>45</v>
      </c>
      <c r="AD34" s="619"/>
      <c r="AE34" s="134"/>
      <c r="AF34" s="135"/>
      <c r="AG34" s="6"/>
      <c r="AH34" s="16"/>
      <c r="AI34" s="16"/>
      <c r="AJ34" s="16"/>
      <c r="AK34" s="16"/>
      <c r="AL34" s="16"/>
      <c r="AM34" s="16"/>
      <c r="AN34" s="14"/>
      <c r="AO34" s="14"/>
      <c r="AP34" s="14"/>
      <c r="AY34" s="79"/>
      <c r="AZ34" s="79"/>
    </row>
    <row r="35" spans="1:72" s="2" customFormat="1" ht="15.6" customHeight="1" x14ac:dyDescent="0.15">
      <c r="A35" s="49"/>
      <c r="B35" s="636"/>
      <c r="C35" s="637"/>
      <c r="D35" s="628"/>
      <c r="E35" s="629"/>
      <c r="F35" s="629"/>
      <c r="G35" s="629"/>
      <c r="H35" s="64"/>
      <c r="I35" s="65"/>
      <c r="J35" s="66"/>
      <c r="K35" s="66"/>
      <c r="L35" s="66"/>
      <c r="M35" s="67"/>
      <c r="N35" s="65"/>
      <c r="O35" s="66"/>
      <c r="P35" s="66"/>
      <c r="Q35" s="66"/>
      <c r="R35" s="67"/>
      <c r="S35" s="128" t="s">
        <v>24</v>
      </c>
      <c r="T35" s="129"/>
      <c r="U35" s="129"/>
      <c r="V35" s="129"/>
      <c r="W35" s="630">
        <v>48</v>
      </c>
      <c r="X35" s="631"/>
      <c r="Y35" s="65" t="s">
        <v>24</v>
      </c>
      <c r="Z35" s="68"/>
      <c r="AA35" s="66"/>
      <c r="AB35" s="66"/>
      <c r="AC35" s="630">
        <v>29</v>
      </c>
      <c r="AD35" s="631"/>
      <c r="AE35" s="132"/>
      <c r="AF35" s="133"/>
      <c r="AG35" s="8"/>
      <c r="AH35" s="16"/>
      <c r="AI35" s="16"/>
      <c r="AJ35" s="16"/>
      <c r="AK35" s="16"/>
      <c r="AL35" s="16"/>
      <c r="AM35" s="16"/>
      <c r="AN35" s="537"/>
      <c r="AO35" s="537"/>
      <c r="AP35" s="537"/>
      <c r="AY35" s="81"/>
      <c r="AZ35" s="81"/>
    </row>
    <row r="36" spans="1:72" s="14" customFormat="1" ht="15.6" customHeight="1" x14ac:dyDescent="0.15">
      <c r="A36" s="51" t="s">
        <v>172</v>
      </c>
      <c r="B36" s="25"/>
      <c r="C36" s="25"/>
      <c r="D36" s="133"/>
      <c r="E36" s="133"/>
      <c r="F36" s="133"/>
      <c r="G36" s="133"/>
      <c r="H36" s="48"/>
      <c r="I36" s="133"/>
      <c r="J36" s="133"/>
      <c r="K36" s="133"/>
      <c r="L36" s="133"/>
      <c r="M36" s="48"/>
      <c r="N36" s="133"/>
      <c r="O36" s="133"/>
      <c r="P36" s="133"/>
      <c r="Q36" s="133"/>
      <c r="R36" s="22"/>
      <c r="S36" s="147"/>
      <c r="T36" s="133"/>
      <c r="U36" s="133"/>
      <c r="V36" s="133"/>
      <c r="W36" s="148"/>
      <c r="X36" s="148"/>
      <c r="Y36" s="26"/>
      <c r="Z36" s="26"/>
      <c r="AA36" s="147"/>
      <c r="AB36" s="147"/>
      <c r="AC36" s="147"/>
      <c r="AD36" s="148"/>
      <c r="AE36" s="133"/>
      <c r="AF36" s="133"/>
      <c r="AG36" s="133"/>
      <c r="AH36" s="16"/>
      <c r="AI36" s="16"/>
      <c r="AJ36" s="16"/>
      <c r="AK36" s="16"/>
      <c r="AL36" s="18"/>
      <c r="AM36" s="16"/>
      <c r="AN36" s="17"/>
      <c r="AO36" s="10"/>
      <c r="AP36" s="10"/>
      <c r="AQ36" s="74"/>
      <c r="AR36" s="9"/>
      <c r="AS36" s="9"/>
      <c r="AT36" s="9"/>
      <c r="AU36" s="10"/>
      <c r="AV36" s="9"/>
      <c r="AW36" s="9"/>
      <c r="AX36" s="9"/>
      <c r="AY36" s="82"/>
      <c r="AZ36" s="82"/>
      <c r="BA36" s="9"/>
      <c r="BB36" s="9"/>
      <c r="BC36" s="9"/>
      <c r="BD36" s="9"/>
      <c r="BE36" s="10"/>
      <c r="BF36" s="9"/>
      <c r="BG36" s="9"/>
      <c r="BH36" s="9"/>
      <c r="BI36" s="11"/>
      <c r="BJ36" s="11"/>
      <c r="BK36" s="12"/>
      <c r="BL36" s="9"/>
      <c r="BM36" s="9"/>
      <c r="BN36" s="9"/>
      <c r="BO36" s="11"/>
      <c r="BP36" s="9"/>
      <c r="BQ36" s="9"/>
      <c r="BR36" s="9"/>
      <c r="BS36" s="9"/>
      <c r="BT36" s="135"/>
    </row>
    <row r="37" spans="1:72" s="14" customFormat="1" ht="15.6" customHeight="1" x14ac:dyDescent="0.15">
      <c r="A37" s="52"/>
      <c r="B37" s="595" t="s">
        <v>14</v>
      </c>
      <c r="C37" s="595"/>
      <c r="D37" s="595" t="s">
        <v>15</v>
      </c>
      <c r="E37" s="595"/>
      <c r="F37" s="595"/>
      <c r="G37" s="595"/>
      <c r="H37" s="595"/>
      <c r="I37" s="595" t="s">
        <v>16</v>
      </c>
      <c r="J37" s="595"/>
      <c r="K37" s="595"/>
      <c r="L37" s="595"/>
      <c r="M37" s="595"/>
      <c r="N37" s="595" t="s">
        <v>17</v>
      </c>
      <c r="O37" s="595"/>
      <c r="P37" s="595"/>
      <c r="Q37" s="595"/>
      <c r="R37" s="595"/>
      <c r="S37" s="608" t="s">
        <v>18</v>
      </c>
      <c r="T37" s="609"/>
      <c r="U37" s="609"/>
      <c r="V37" s="609"/>
      <c r="W37" s="609"/>
      <c r="X37" s="610"/>
      <c r="Y37" s="608" t="s">
        <v>19</v>
      </c>
      <c r="Z37" s="609"/>
      <c r="AA37" s="609"/>
      <c r="AB37" s="609"/>
      <c r="AC37" s="609"/>
      <c r="AD37" s="610"/>
      <c r="AE37" s="608" t="s">
        <v>72</v>
      </c>
      <c r="AF37" s="609"/>
      <c r="AG37" s="610"/>
      <c r="AH37" s="16"/>
      <c r="AI37" s="16"/>
      <c r="AJ37" s="16"/>
      <c r="AK37" s="16"/>
      <c r="AL37" s="16"/>
      <c r="AM37" s="16"/>
      <c r="AY37" s="80"/>
      <c r="AZ37" s="80"/>
    </row>
    <row r="38" spans="1:72" s="3" customFormat="1" ht="15.6" customHeight="1" x14ac:dyDescent="0.15">
      <c r="A38" s="49"/>
      <c r="B38" s="611" t="s">
        <v>9</v>
      </c>
      <c r="C38" s="611"/>
      <c r="D38" s="612">
        <v>25</v>
      </c>
      <c r="E38" s="612"/>
      <c r="F38" s="612"/>
      <c r="G38" s="612"/>
      <c r="H38" s="612"/>
      <c r="I38" s="612">
        <v>3</v>
      </c>
      <c r="J38" s="612"/>
      <c r="K38" s="612"/>
      <c r="L38" s="612"/>
      <c r="M38" s="612"/>
      <c r="N38" s="612">
        <v>1</v>
      </c>
      <c r="O38" s="612"/>
      <c r="P38" s="612"/>
      <c r="Q38" s="612"/>
      <c r="R38" s="612"/>
      <c r="S38" s="613">
        <v>22</v>
      </c>
      <c r="T38" s="614"/>
      <c r="U38" s="614"/>
      <c r="V38" s="614"/>
      <c r="W38" s="614"/>
      <c r="X38" s="615"/>
      <c r="Y38" s="613">
        <v>22</v>
      </c>
      <c r="Z38" s="614"/>
      <c r="AA38" s="614"/>
      <c r="AB38" s="614"/>
      <c r="AC38" s="614"/>
      <c r="AD38" s="615"/>
      <c r="AE38" s="613">
        <f>S38-Y38</f>
        <v>0</v>
      </c>
      <c r="AF38" s="614"/>
      <c r="AG38" s="615"/>
      <c r="AH38" s="537"/>
      <c r="AI38" s="537"/>
      <c r="AJ38" s="888"/>
      <c r="AK38" s="888"/>
      <c r="AL38" s="888"/>
      <c r="AM38" s="888"/>
      <c r="AN38" s="18"/>
      <c r="AO38" s="14"/>
      <c r="AP38" s="14"/>
      <c r="AY38" s="79"/>
      <c r="AZ38" s="79"/>
    </row>
    <row r="39" spans="1:72" s="3" customFormat="1" ht="15.6" customHeight="1" x14ac:dyDescent="0.15">
      <c r="A39" s="49"/>
      <c r="B39" s="632" t="s">
        <v>21</v>
      </c>
      <c r="C39" s="633"/>
      <c r="D39" s="624"/>
      <c r="E39" s="625"/>
      <c r="F39" s="625"/>
      <c r="G39" s="626"/>
      <c r="H39" s="627"/>
      <c r="I39" s="57" t="s">
        <v>22</v>
      </c>
      <c r="J39" s="58"/>
      <c r="K39" s="58"/>
      <c r="L39" s="622">
        <v>1</v>
      </c>
      <c r="M39" s="623"/>
      <c r="N39" s="57" t="s">
        <v>62</v>
      </c>
      <c r="O39" s="58"/>
      <c r="P39" s="58"/>
      <c r="Q39" s="622">
        <v>1</v>
      </c>
      <c r="R39" s="623"/>
      <c r="S39" s="126" t="s">
        <v>23</v>
      </c>
      <c r="T39" s="127"/>
      <c r="U39" s="127"/>
      <c r="V39" s="127"/>
      <c r="W39" s="622">
        <v>2</v>
      </c>
      <c r="X39" s="623"/>
      <c r="Y39" s="57" t="s">
        <v>97</v>
      </c>
      <c r="Z39" s="127"/>
      <c r="AA39" s="127"/>
      <c r="AB39" s="127"/>
      <c r="AC39" s="622">
        <v>0</v>
      </c>
      <c r="AD39" s="623"/>
      <c r="AE39" s="136"/>
      <c r="AF39" s="137"/>
      <c r="AG39" s="5"/>
      <c r="AH39" s="16"/>
      <c r="AI39" s="16"/>
      <c r="AJ39" s="643"/>
      <c r="AK39" s="643"/>
      <c r="AL39" s="643"/>
      <c r="AM39" s="643"/>
      <c r="AN39" s="14"/>
      <c r="AO39" s="14"/>
      <c r="AP39" s="14"/>
      <c r="AY39" s="79"/>
      <c r="AZ39" s="79"/>
    </row>
    <row r="40" spans="1:72" s="3" customFormat="1" ht="15.6" customHeight="1" x14ac:dyDescent="0.15">
      <c r="A40" s="49"/>
      <c r="B40" s="634"/>
      <c r="C40" s="635"/>
      <c r="D40" s="620"/>
      <c r="E40" s="621"/>
      <c r="F40" s="621"/>
      <c r="G40" s="621"/>
      <c r="H40" s="59"/>
      <c r="I40" s="60" t="s">
        <v>0</v>
      </c>
      <c r="J40" s="61"/>
      <c r="K40" s="61"/>
      <c r="L40" s="616">
        <v>1</v>
      </c>
      <c r="M40" s="617"/>
      <c r="N40" s="60" t="s">
        <v>3</v>
      </c>
      <c r="O40" s="61"/>
      <c r="P40" s="61"/>
      <c r="Q40" s="616">
        <v>0</v>
      </c>
      <c r="R40" s="617"/>
      <c r="S40" s="124" t="s">
        <v>90</v>
      </c>
      <c r="T40" s="125"/>
      <c r="U40" s="125"/>
      <c r="V40" s="125"/>
      <c r="W40" s="616">
        <v>0</v>
      </c>
      <c r="X40" s="617"/>
      <c r="Y40" s="60" t="s">
        <v>4</v>
      </c>
      <c r="Z40" s="61"/>
      <c r="AA40" s="61"/>
      <c r="AB40" s="61"/>
      <c r="AC40" s="616">
        <v>12</v>
      </c>
      <c r="AD40" s="617"/>
      <c r="AE40" s="134"/>
      <c r="AF40" s="135"/>
      <c r="AG40" s="6"/>
      <c r="AH40" s="16"/>
      <c r="AI40" s="16"/>
      <c r="AJ40" s="16"/>
      <c r="AK40" s="16"/>
      <c r="AL40" s="16"/>
      <c r="AM40" s="16"/>
      <c r="AN40" s="14"/>
      <c r="AO40" s="14"/>
      <c r="AP40" s="14"/>
      <c r="AY40" s="79"/>
      <c r="AZ40" s="79"/>
    </row>
    <row r="41" spans="1:72" s="3" customFormat="1" ht="15.6" customHeight="1" x14ac:dyDescent="0.15">
      <c r="A41" s="49"/>
      <c r="B41" s="634"/>
      <c r="C41" s="635"/>
      <c r="D41" s="620"/>
      <c r="E41" s="621"/>
      <c r="F41" s="621"/>
      <c r="G41" s="621"/>
      <c r="H41" s="59"/>
      <c r="I41" s="60" t="s">
        <v>61</v>
      </c>
      <c r="J41" s="61"/>
      <c r="K41" s="61"/>
      <c r="L41" s="616">
        <v>0</v>
      </c>
      <c r="M41" s="617"/>
      <c r="N41" s="60" t="s">
        <v>0</v>
      </c>
      <c r="O41" s="61"/>
      <c r="P41" s="61"/>
      <c r="Q41" s="616">
        <v>0</v>
      </c>
      <c r="R41" s="617"/>
      <c r="S41" s="124" t="s">
        <v>91</v>
      </c>
      <c r="T41" s="125"/>
      <c r="U41" s="125"/>
      <c r="V41" s="125"/>
      <c r="W41" s="616">
        <v>1</v>
      </c>
      <c r="X41" s="617"/>
      <c r="Y41" s="60" t="s">
        <v>2</v>
      </c>
      <c r="Z41" s="62"/>
      <c r="AA41" s="62"/>
      <c r="AB41" s="62"/>
      <c r="AC41" s="616">
        <v>1</v>
      </c>
      <c r="AD41" s="617"/>
      <c r="AE41" s="134"/>
      <c r="AF41" s="135"/>
      <c r="AG41" s="6"/>
      <c r="AH41" s="16"/>
      <c r="AI41" s="16"/>
      <c r="AJ41" s="643"/>
      <c r="AK41" s="643"/>
      <c r="AL41" s="643"/>
      <c r="AM41" s="643"/>
      <c r="AN41" s="14"/>
      <c r="AO41" s="14"/>
      <c r="AP41" s="14"/>
      <c r="AY41" s="79"/>
      <c r="AZ41" s="79"/>
    </row>
    <row r="42" spans="1:72" s="3" customFormat="1" ht="15.6" customHeight="1" x14ac:dyDescent="0.15">
      <c r="A42" s="49"/>
      <c r="B42" s="634"/>
      <c r="C42" s="635"/>
      <c r="D42" s="620"/>
      <c r="E42" s="621"/>
      <c r="F42" s="621"/>
      <c r="G42" s="621"/>
      <c r="H42" s="59"/>
      <c r="I42" s="60" t="s">
        <v>60</v>
      </c>
      <c r="J42" s="61"/>
      <c r="K42" s="61"/>
      <c r="L42" s="616">
        <v>1</v>
      </c>
      <c r="M42" s="617"/>
      <c r="N42" s="60" t="s">
        <v>4</v>
      </c>
      <c r="O42" s="61"/>
      <c r="P42" s="61"/>
      <c r="Q42" s="616">
        <v>0</v>
      </c>
      <c r="R42" s="617"/>
      <c r="S42" s="124" t="s">
        <v>92</v>
      </c>
      <c r="T42" s="125"/>
      <c r="U42" s="125"/>
      <c r="V42" s="125"/>
      <c r="W42" s="616">
        <v>6</v>
      </c>
      <c r="X42" s="617"/>
      <c r="Y42" s="60" t="s">
        <v>98</v>
      </c>
      <c r="Z42" s="61"/>
      <c r="AA42" s="61"/>
      <c r="AB42" s="61"/>
      <c r="AC42" s="616">
        <v>1</v>
      </c>
      <c r="AD42" s="617"/>
      <c r="AE42" s="134"/>
      <c r="AF42" s="135"/>
      <c r="AG42" s="6"/>
      <c r="AH42" s="16"/>
      <c r="AI42" s="541"/>
      <c r="AJ42" s="16"/>
      <c r="AK42" s="16"/>
      <c r="AL42" s="16"/>
      <c r="AM42" s="16"/>
      <c r="AN42" s="14"/>
      <c r="AO42" s="14"/>
      <c r="AP42" s="14"/>
      <c r="AY42" s="79"/>
      <c r="AZ42" s="79"/>
    </row>
    <row r="43" spans="1:72" s="3" customFormat="1" ht="15.6" customHeight="1" x14ac:dyDescent="0.15">
      <c r="A43" s="49"/>
      <c r="B43" s="634"/>
      <c r="C43" s="635"/>
      <c r="D43" s="620"/>
      <c r="E43" s="621"/>
      <c r="F43" s="621"/>
      <c r="G43" s="621"/>
      <c r="H43" s="59"/>
      <c r="I43" s="60"/>
      <c r="J43" s="61"/>
      <c r="K43" s="61"/>
      <c r="L43" s="61"/>
      <c r="M43" s="63"/>
      <c r="N43" s="60" t="s">
        <v>60</v>
      </c>
      <c r="O43" s="61"/>
      <c r="P43" s="61"/>
      <c r="Q43" s="616">
        <v>0</v>
      </c>
      <c r="R43" s="617"/>
      <c r="S43" s="124" t="s">
        <v>94</v>
      </c>
      <c r="T43" s="125"/>
      <c r="U43" s="125"/>
      <c r="V43" s="125"/>
      <c r="W43" s="616">
        <v>0</v>
      </c>
      <c r="X43" s="617"/>
      <c r="Y43" s="60" t="s">
        <v>99</v>
      </c>
      <c r="Z43" s="61"/>
      <c r="AA43" s="61"/>
      <c r="AB43" s="61"/>
      <c r="AC43" s="618">
        <v>0</v>
      </c>
      <c r="AD43" s="619"/>
      <c r="AE43" s="134"/>
      <c r="AF43" s="135"/>
      <c r="AG43" s="6"/>
      <c r="AH43" s="16"/>
      <c r="AI43" s="541"/>
      <c r="AJ43" s="16"/>
      <c r="AK43" s="16"/>
      <c r="AL43" s="16"/>
      <c r="AM43" s="16"/>
      <c r="AN43" s="14"/>
      <c r="AO43" s="14"/>
      <c r="AP43" s="14"/>
      <c r="AY43" s="79"/>
      <c r="AZ43" s="79"/>
    </row>
    <row r="44" spans="1:72" s="3" customFormat="1" ht="15.6" customHeight="1" x14ac:dyDescent="0.15">
      <c r="A44" s="49"/>
      <c r="B44" s="634"/>
      <c r="C44" s="635"/>
      <c r="D44" s="124"/>
      <c r="E44" s="125"/>
      <c r="F44" s="125"/>
      <c r="G44" s="125"/>
      <c r="H44" s="59"/>
      <c r="I44" s="60"/>
      <c r="J44" s="61"/>
      <c r="K44" s="61"/>
      <c r="L44" s="61"/>
      <c r="M44" s="63"/>
      <c r="N44" s="60"/>
      <c r="O44" s="61"/>
      <c r="P44" s="61"/>
      <c r="Q44" s="122"/>
      <c r="R44" s="123"/>
      <c r="S44" s="124" t="s">
        <v>93</v>
      </c>
      <c r="T44" s="125"/>
      <c r="U44" s="125"/>
      <c r="V44" s="125"/>
      <c r="W44" s="616">
        <v>0</v>
      </c>
      <c r="X44" s="617"/>
      <c r="Y44" s="60" t="s">
        <v>100</v>
      </c>
      <c r="Z44" s="61"/>
      <c r="AA44" s="61"/>
      <c r="AB44" s="61"/>
      <c r="AC44" s="618">
        <v>0</v>
      </c>
      <c r="AD44" s="619"/>
      <c r="AE44" s="134"/>
      <c r="AF44" s="135"/>
      <c r="AG44" s="6"/>
      <c r="AH44" s="16"/>
      <c r="AI44" s="541"/>
      <c r="AJ44" s="16"/>
      <c r="AK44" s="16"/>
      <c r="AL44" s="16"/>
      <c r="AM44" s="16"/>
      <c r="AN44" s="14"/>
      <c r="AO44" s="14"/>
      <c r="AP44" s="14"/>
      <c r="AY44" s="79"/>
      <c r="AZ44" s="79"/>
    </row>
    <row r="45" spans="1:72" s="3" customFormat="1" ht="15.6" customHeight="1" x14ac:dyDescent="0.15">
      <c r="A45" s="49"/>
      <c r="B45" s="634"/>
      <c r="C45" s="635"/>
      <c r="D45" s="124"/>
      <c r="E45" s="125"/>
      <c r="F45" s="125"/>
      <c r="G45" s="125"/>
      <c r="H45" s="59"/>
      <c r="I45" s="60"/>
      <c r="J45" s="61"/>
      <c r="K45" s="61"/>
      <c r="L45" s="61"/>
      <c r="M45" s="63"/>
      <c r="N45" s="60"/>
      <c r="O45" s="61"/>
      <c r="P45" s="61"/>
      <c r="Q45" s="122"/>
      <c r="R45" s="123"/>
      <c r="S45" s="124" t="s">
        <v>95</v>
      </c>
      <c r="T45" s="125"/>
      <c r="U45" s="125"/>
      <c r="V45" s="125"/>
      <c r="W45" s="616">
        <v>0</v>
      </c>
      <c r="X45" s="617"/>
      <c r="Y45" s="60" t="s">
        <v>101</v>
      </c>
      <c r="Z45" s="61"/>
      <c r="AA45" s="61"/>
      <c r="AB45" s="61"/>
      <c r="AC45" s="618">
        <v>0</v>
      </c>
      <c r="AD45" s="619"/>
      <c r="AE45" s="134"/>
      <c r="AF45" s="135"/>
      <c r="AG45" s="6"/>
      <c r="AH45" s="16"/>
      <c r="AI45" s="541"/>
      <c r="AJ45" s="16"/>
      <c r="AK45" s="16"/>
      <c r="AL45" s="16"/>
      <c r="AM45" s="16"/>
      <c r="AN45" s="14"/>
      <c r="AO45" s="14"/>
      <c r="AP45" s="14"/>
      <c r="AY45" s="79"/>
      <c r="AZ45" s="79"/>
    </row>
    <row r="46" spans="1:72" s="3" customFormat="1" ht="15.6" customHeight="1" x14ac:dyDescent="0.15">
      <c r="A46" s="49"/>
      <c r="B46" s="634"/>
      <c r="C46" s="635"/>
      <c r="D46" s="124"/>
      <c r="E46" s="125"/>
      <c r="F46" s="125"/>
      <c r="G46" s="125"/>
      <c r="H46" s="59"/>
      <c r="I46" s="60"/>
      <c r="J46" s="61"/>
      <c r="K46" s="61"/>
      <c r="L46" s="61"/>
      <c r="M46" s="63"/>
      <c r="N46" s="60"/>
      <c r="O46" s="61"/>
      <c r="P46" s="61"/>
      <c r="Q46" s="122"/>
      <c r="R46" s="123"/>
      <c r="S46" s="124" t="s">
        <v>96</v>
      </c>
      <c r="T46" s="125"/>
      <c r="U46" s="125"/>
      <c r="V46" s="125"/>
      <c r="W46" s="616">
        <v>0</v>
      </c>
      <c r="X46" s="617"/>
      <c r="Y46" s="60" t="s">
        <v>103</v>
      </c>
      <c r="Z46" s="61"/>
      <c r="AA46" s="61"/>
      <c r="AB46" s="61"/>
      <c r="AC46" s="618">
        <v>1</v>
      </c>
      <c r="AD46" s="619"/>
      <c r="AE46" s="134"/>
      <c r="AF46" s="135"/>
      <c r="AG46" s="6"/>
      <c r="AH46" s="16"/>
      <c r="AI46" s="541"/>
      <c r="AJ46" s="16"/>
      <c r="AK46" s="16"/>
      <c r="AL46" s="16"/>
      <c r="AM46" s="16"/>
      <c r="AN46" s="14"/>
      <c r="AO46" s="14"/>
      <c r="AP46" s="14"/>
      <c r="AY46" s="79"/>
      <c r="AZ46" s="79"/>
    </row>
    <row r="47" spans="1:72" s="3" customFormat="1" ht="15.6" customHeight="1" x14ac:dyDescent="0.15">
      <c r="A47" s="49"/>
      <c r="B47" s="634"/>
      <c r="C47" s="635"/>
      <c r="D47" s="124"/>
      <c r="E47" s="125"/>
      <c r="F47" s="125"/>
      <c r="G47" s="125"/>
      <c r="H47" s="59"/>
      <c r="I47" s="60"/>
      <c r="J47" s="61"/>
      <c r="K47" s="61"/>
      <c r="L47" s="61"/>
      <c r="M47" s="63"/>
      <c r="N47" s="60"/>
      <c r="O47" s="61"/>
      <c r="P47" s="61"/>
      <c r="Q47" s="122"/>
      <c r="R47" s="123"/>
      <c r="S47" s="124" t="s">
        <v>80</v>
      </c>
      <c r="T47" s="125"/>
      <c r="U47" s="125"/>
      <c r="V47" s="125"/>
      <c r="W47" s="616">
        <v>12</v>
      </c>
      <c r="X47" s="617"/>
      <c r="Y47" s="60" t="s">
        <v>104</v>
      </c>
      <c r="Z47" s="61"/>
      <c r="AA47" s="61"/>
      <c r="AB47" s="61"/>
      <c r="AC47" s="618">
        <v>0</v>
      </c>
      <c r="AD47" s="619"/>
      <c r="AE47" s="134"/>
      <c r="AF47" s="135"/>
      <c r="AG47" s="6"/>
      <c r="AH47" s="16"/>
      <c r="AI47" s="16"/>
      <c r="AJ47" s="16"/>
      <c r="AK47" s="16"/>
      <c r="AL47" s="16"/>
      <c r="AM47" s="16"/>
      <c r="AN47" s="14"/>
      <c r="AO47" s="14"/>
      <c r="AP47" s="14"/>
      <c r="AY47" s="79"/>
      <c r="AZ47" s="79"/>
    </row>
    <row r="48" spans="1:72" s="3" customFormat="1" ht="15.6" customHeight="1" x14ac:dyDescent="0.15">
      <c r="A48" s="49"/>
      <c r="B48" s="634"/>
      <c r="C48" s="635"/>
      <c r="D48" s="124"/>
      <c r="E48" s="125"/>
      <c r="F48" s="125"/>
      <c r="G48" s="125"/>
      <c r="H48" s="59"/>
      <c r="I48" s="60"/>
      <c r="J48" s="61"/>
      <c r="K48" s="61"/>
      <c r="L48" s="61"/>
      <c r="M48" s="63"/>
      <c r="N48" s="60"/>
      <c r="O48" s="61"/>
      <c r="P48" s="61"/>
      <c r="Q48" s="122"/>
      <c r="R48" s="123"/>
      <c r="S48" s="124" t="s">
        <v>102</v>
      </c>
      <c r="T48" s="125"/>
      <c r="U48" s="125"/>
      <c r="V48" s="125"/>
      <c r="W48" s="616">
        <v>0</v>
      </c>
      <c r="X48" s="617"/>
      <c r="Y48" s="60" t="s">
        <v>105</v>
      </c>
      <c r="Z48" s="61"/>
      <c r="AA48" s="61"/>
      <c r="AB48" s="61"/>
      <c r="AC48" s="618">
        <v>2</v>
      </c>
      <c r="AD48" s="619"/>
      <c r="AE48" s="134"/>
      <c r="AF48" s="135"/>
      <c r="AG48" s="6"/>
      <c r="AH48" s="16"/>
      <c r="AI48" s="16"/>
      <c r="AJ48" s="16"/>
      <c r="AK48" s="16"/>
      <c r="AL48" s="16"/>
      <c r="AM48" s="16"/>
      <c r="AN48" s="14"/>
      <c r="AO48" s="14"/>
      <c r="AP48" s="14"/>
      <c r="AY48" s="79"/>
      <c r="AZ48" s="79"/>
    </row>
    <row r="49" spans="1:52" s="3" customFormat="1" ht="15.6" customHeight="1" x14ac:dyDescent="0.15">
      <c r="A49" s="49"/>
      <c r="B49" s="636"/>
      <c r="C49" s="637"/>
      <c r="D49" s="628"/>
      <c r="E49" s="629"/>
      <c r="F49" s="629"/>
      <c r="G49" s="629"/>
      <c r="H49" s="64"/>
      <c r="I49" s="65"/>
      <c r="J49" s="66"/>
      <c r="K49" s="66"/>
      <c r="L49" s="66"/>
      <c r="M49" s="67"/>
      <c r="N49" s="65"/>
      <c r="O49" s="66"/>
      <c r="P49" s="66"/>
      <c r="Q49" s="66"/>
      <c r="R49" s="67"/>
      <c r="S49" s="128" t="s">
        <v>24</v>
      </c>
      <c r="T49" s="129"/>
      <c r="U49" s="129"/>
      <c r="V49" s="129"/>
      <c r="W49" s="630">
        <v>1</v>
      </c>
      <c r="X49" s="631"/>
      <c r="Y49" s="65" t="s">
        <v>24</v>
      </c>
      <c r="Z49" s="68"/>
      <c r="AA49" s="66"/>
      <c r="AB49" s="66"/>
      <c r="AC49" s="630">
        <v>5</v>
      </c>
      <c r="AD49" s="631"/>
      <c r="AE49" s="132"/>
      <c r="AF49" s="133"/>
      <c r="AG49" s="8"/>
      <c r="AH49" s="16"/>
      <c r="AI49" s="16"/>
      <c r="AJ49" s="16"/>
      <c r="AK49" s="16"/>
      <c r="AL49" s="16"/>
      <c r="AM49" s="16"/>
      <c r="AN49" s="14"/>
      <c r="AO49" s="14"/>
      <c r="AP49" s="14"/>
      <c r="AY49" s="79"/>
      <c r="AZ49" s="79"/>
    </row>
    <row r="50" spans="1:52" s="3" customFormat="1" ht="15.6" customHeight="1" x14ac:dyDescent="0.15">
      <c r="A50" s="49"/>
      <c r="B50" s="142"/>
      <c r="C50" s="142"/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45"/>
      <c r="Q50" s="145"/>
      <c r="R50" s="142"/>
      <c r="S50" s="135"/>
      <c r="T50" s="135"/>
      <c r="U50" s="135"/>
      <c r="V50" s="135"/>
      <c r="W50" s="143"/>
      <c r="X50" s="143"/>
      <c r="Y50" s="145"/>
      <c r="Z50" s="37"/>
      <c r="AA50" s="145"/>
      <c r="AB50" s="145"/>
      <c r="AC50" s="143"/>
      <c r="AD50" s="143"/>
      <c r="AE50" s="135"/>
      <c r="AF50" s="135"/>
      <c r="AG50" s="135"/>
      <c r="AH50" s="16"/>
      <c r="AI50" s="16"/>
      <c r="AJ50" s="16"/>
      <c r="AK50" s="16"/>
      <c r="AL50" s="16"/>
      <c r="AM50" s="16"/>
      <c r="AN50" s="14"/>
      <c r="AO50" s="14"/>
      <c r="AP50" s="14"/>
      <c r="AY50" s="79"/>
      <c r="AZ50" s="79"/>
    </row>
    <row r="51" spans="1:52" s="3" customFormat="1" ht="15.6" customHeight="1" x14ac:dyDescent="0.15">
      <c r="A51" s="49"/>
      <c r="B51" s="142"/>
      <c r="C51" s="142"/>
      <c r="D51" s="135"/>
      <c r="E51" s="135"/>
      <c r="F51" s="135"/>
      <c r="G51" s="135"/>
      <c r="H51" s="135"/>
      <c r="I51" s="135"/>
      <c r="J51" s="135"/>
      <c r="K51" s="135"/>
      <c r="L51" s="135"/>
      <c r="M51" s="135"/>
      <c r="N51" s="135"/>
      <c r="O51" s="135"/>
      <c r="P51" s="145"/>
      <c r="Q51" s="145"/>
      <c r="R51" s="142"/>
      <c r="S51" s="135"/>
      <c r="T51" s="135"/>
      <c r="U51" s="135"/>
      <c r="V51" s="135"/>
      <c r="W51" s="143"/>
      <c r="X51" s="143"/>
      <c r="Y51" s="145"/>
      <c r="Z51" s="37"/>
      <c r="AA51" s="145"/>
      <c r="AB51" s="145"/>
      <c r="AC51" s="143"/>
      <c r="AD51" s="143"/>
      <c r="AE51" s="135"/>
      <c r="AF51" s="135"/>
      <c r="AG51" s="135"/>
      <c r="AH51" s="16"/>
      <c r="AI51" s="16"/>
      <c r="AJ51" s="16"/>
      <c r="AK51" s="16"/>
      <c r="AL51" s="16"/>
      <c r="AM51" s="16"/>
      <c r="AN51" s="14"/>
      <c r="AO51" s="14"/>
      <c r="AP51" s="14"/>
      <c r="AY51" s="79"/>
      <c r="AZ51" s="79"/>
    </row>
    <row r="52" spans="1:52" s="3" customFormat="1" ht="15.6" customHeight="1" x14ac:dyDescent="0.15">
      <c r="A52" s="49"/>
      <c r="B52" s="152"/>
      <c r="C52" s="152"/>
      <c r="D52" s="151"/>
      <c r="E52" s="151"/>
      <c r="F52" s="151"/>
      <c r="G52" s="151"/>
      <c r="H52" s="151"/>
      <c r="I52" s="151"/>
      <c r="J52" s="151"/>
      <c r="K52" s="151"/>
      <c r="L52" s="151"/>
      <c r="M52" s="151"/>
      <c r="N52" s="151"/>
      <c r="O52" s="151"/>
      <c r="P52" s="154"/>
      <c r="Q52" s="154"/>
      <c r="R52" s="152"/>
      <c r="S52" s="151"/>
      <c r="T52" s="151"/>
      <c r="U52" s="151"/>
      <c r="V52" s="151"/>
      <c r="W52" s="153"/>
      <c r="X52" s="153"/>
      <c r="Y52" s="154"/>
      <c r="Z52" s="37"/>
      <c r="AA52" s="154"/>
      <c r="AB52" s="154"/>
      <c r="AC52" s="153"/>
      <c r="AD52" s="153"/>
      <c r="AE52" s="151"/>
      <c r="AF52" s="151"/>
      <c r="AG52" s="151"/>
      <c r="AH52" s="16"/>
      <c r="AI52" s="16"/>
      <c r="AJ52" s="16"/>
      <c r="AK52" s="16"/>
      <c r="AL52" s="16"/>
      <c r="AM52" s="16"/>
      <c r="AN52" s="14"/>
      <c r="AO52" s="14"/>
      <c r="AP52" s="14"/>
      <c r="AY52" s="79"/>
      <c r="AZ52" s="79"/>
    </row>
    <row r="53" spans="1:52" s="3" customFormat="1" ht="15.6" customHeight="1" x14ac:dyDescent="0.15">
      <c r="A53" s="49"/>
      <c r="B53" s="142"/>
      <c r="C53" s="142"/>
      <c r="D53" s="135"/>
      <c r="E53" s="135"/>
      <c r="F53" s="135"/>
      <c r="G53" s="135"/>
      <c r="H53" s="135"/>
      <c r="I53" s="135"/>
      <c r="J53" s="135"/>
      <c r="K53" s="135"/>
      <c r="L53" s="135"/>
      <c r="M53" s="135"/>
      <c r="N53" s="135"/>
      <c r="O53" s="135"/>
      <c r="P53" s="145"/>
      <c r="Q53" s="145"/>
      <c r="R53" s="142"/>
      <c r="S53" s="135"/>
      <c r="T53" s="135"/>
      <c r="U53" s="135"/>
      <c r="V53" s="135"/>
      <c r="W53" s="143"/>
      <c r="X53" s="143"/>
      <c r="Y53" s="145"/>
      <c r="Z53" s="37"/>
      <c r="AA53" s="145"/>
      <c r="AB53" s="145"/>
      <c r="AC53" s="143"/>
      <c r="AD53" s="143"/>
      <c r="AE53" s="135"/>
      <c r="AF53" s="135"/>
      <c r="AG53" s="135"/>
      <c r="AH53" s="16"/>
      <c r="AI53" s="16"/>
      <c r="AJ53" s="16"/>
      <c r="AK53" s="16"/>
      <c r="AL53" s="16"/>
      <c r="AM53" s="16"/>
      <c r="AN53" s="14"/>
      <c r="AO53" s="14"/>
      <c r="AP53" s="14"/>
      <c r="AY53" s="79"/>
      <c r="AZ53" s="79"/>
    </row>
    <row r="54" spans="1:52" s="3" customFormat="1" ht="15.6" customHeight="1" x14ac:dyDescent="0.15">
      <c r="A54" s="49"/>
      <c r="B54" s="142"/>
      <c r="C54" s="142"/>
      <c r="D54" s="135"/>
      <c r="E54" s="135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45"/>
      <c r="Q54" s="145"/>
      <c r="R54" s="142"/>
      <c r="S54" s="135"/>
      <c r="T54" s="135"/>
      <c r="U54" s="135"/>
      <c r="V54" s="135"/>
      <c r="W54" s="143"/>
      <c r="X54" s="143"/>
      <c r="Y54" s="145"/>
      <c r="Z54" s="37"/>
      <c r="AA54" s="145"/>
      <c r="AB54" s="145"/>
      <c r="AC54" s="143"/>
      <c r="AD54" s="143"/>
      <c r="AE54" s="135"/>
      <c r="AF54" s="135"/>
      <c r="AG54" s="135"/>
      <c r="AH54" s="16"/>
      <c r="AI54" s="16"/>
      <c r="AJ54" s="16"/>
      <c r="AK54" s="16"/>
      <c r="AL54" s="16"/>
      <c r="AM54" s="16"/>
      <c r="AN54" s="14"/>
      <c r="AO54" s="14"/>
      <c r="AP54" s="14"/>
      <c r="AY54" s="79"/>
      <c r="AZ54" s="79"/>
    </row>
    <row r="55" spans="1:52" s="3" customFormat="1" ht="15.6" customHeight="1" x14ac:dyDescent="0.15">
      <c r="A55" s="50" t="s">
        <v>125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4"/>
      <c r="AO55" s="14"/>
      <c r="AP55" s="14"/>
      <c r="AY55" s="79"/>
      <c r="AZ55" s="79"/>
    </row>
    <row r="56" spans="1:52" s="3" customFormat="1" ht="15.6" customHeight="1" x14ac:dyDescent="0.15">
      <c r="A56" s="54"/>
      <c r="B56" s="644" t="s">
        <v>25</v>
      </c>
      <c r="C56" s="645"/>
      <c r="D56" s="645"/>
      <c r="E56" s="646"/>
      <c r="F56" s="647" t="s">
        <v>26</v>
      </c>
      <c r="G56" s="647"/>
      <c r="H56" s="647"/>
      <c r="I56" s="647"/>
      <c r="J56" s="647" t="s">
        <v>83</v>
      </c>
      <c r="K56" s="647"/>
      <c r="L56" s="647"/>
      <c r="M56" s="647"/>
      <c r="N56" s="647" t="s">
        <v>27</v>
      </c>
      <c r="O56" s="647"/>
      <c r="P56" s="647"/>
      <c r="Q56" s="647"/>
      <c r="R56" s="647" t="s">
        <v>84</v>
      </c>
      <c r="S56" s="647"/>
      <c r="T56" s="647"/>
      <c r="U56" s="647"/>
      <c r="V56" s="647" t="s">
        <v>85</v>
      </c>
      <c r="W56" s="647"/>
      <c r="X56" s="647"/>
      <c r="Y56" s="647"/>
      <c r="Z56" s="647" t="s">
        <v>28</v>
      </c>
      <c r="AA56" s="647"/>
      <c r="AB56" s="647"/>
      <c r="AC56" s="647"/>
      <c r="AD56" s="644" t="s">
        <v>29</v>
      </c>
      <c r="AE56" s="645"/>
      <c r="AF56" s="645"/>
      <c r="AG56" s="646"/>
      <c r="AH56" s="16"/>
      <c r="AI56" s="16"/>
      <c r="AJ56" s="16"/>
      <c r="AK56" s="16"/>
      <c r="AL56" s="16"/>
      <c r="AM56" s="16"/>
      <c r="AN56" s="14"/>
      <c r="AO56" s="14"/>
      <c r="AP56" s="14"/>
      <c r="AY56" s="79"/>
      <c r="AZ56" s="79"/>
    </row>
    <row r="57" spans="1:52" s="14" customFormat="1" ht="15.6" customHeight="1" x14ac:dyDescent="0.15">
      <c r="B57" s="701" t="s">
        <v>173</v>
      </c>
      <c r="C57" s="702"/>
      <c r="D57" s="702"/>
      <c r="E57" s="703"/>
      <c r="F57" s="829" t="s">
        <v>9</v>
      </c>
      <c r="G57" s="830"/>
      <c r="H57" s="830"/>
      <c r="I57" s="831"/>
      <c r="J57" s="613">
        <v>1287</v>
      </c>
      <c r="K57" s="614"/>
      <c r="L57" s="614"/>
      <c r="M57" s="615"/>
      <c r="N57" s="613">
        <v>115</v>
      </c>
      <c r="O57" s="614"/>
      <c r="P57" s="614"/>
      <c r="Q57" s="615"/>
      <c r="R57" s="613">
        <v>371</v>
      </c>
      <c r="S57" s="614"/>
      <c r="T57" s="614"/>
      <c r="U57" s="615"/>
      <c r="V57" s="613">
        <v>276</v>
      </c>
      <c r="W57" s="614"/>
      <c r="X57" s="614"/>
      <c r="Y57" s="615"/>
      <c r="Z57" s="613">
        <v>515</v>
      </c>
      <c r="AA57" s="614"/>
      <c r="AB57" s="614"/>
      <c r="AC57" s="615"/>
      <c r="AD57" s="613">
        <f>SUM(J57:AC57)</f>
        <v>2564</v>
      </c>
      <c r="AE57" s="614"/>
      <c r="AF57" s="614"/>
      <c r="AG57" s="615"/>
      <c r="AQ57" s="85"/>
      <c r="AR57" s="85"/>
      <c r="AY57" s="80"/>
      <c r="AZ57" s="80"/>
    </row>
    <row r="58" spans="1:52" s="14" customFormat="1" ht="15.6" customHeight="1" x14ac:dyDescent="0.15">
      <c r="B58" s="711"/>
      <c r="C58" s="712"/>
      <c r="D58" s="712"/>
      <c r="E58" s="713"/>
      <c r="F58" s="832" t="s">
        <v>30</v>
      </c>
      <c r="G58" s="833"/>
      <c r="H58" s="833"/>
      <c r="I58" s="834"/>
      <c r="J58" s="835">
        <v>0.5</v>
      </c>
      <c r="K58" s="836"/>
      <c r="L58" s="836"/>
      <c r="M58" s="837"/>
      <c r="N58" s="835">
        <f>N57/$AD$57</f>
        <v>4.4851794071762874E-2</v>
      </c>
      <c r="O58" s="836"/>
      <c r="P58" s="836"/>
      <c r="Q58" s="837"/>
      <c r="R58" s="835">
        <f>R57/$AD$57</f>
        <v>0.14469578783151327</v>
      </c>
      <c r="S58" s="836"/>
      <c r="T58" s="836"/>
      <c r="U58" s="837"/>
      <c r="V58" s="835">
        <f>V57/AD57</f>
        <v>0.10764430577223089</v>
      </c>
      <c r="W58" s="836"/>
      <c r="X58" s="836"/>
      <c r="Y58" s="837"/>
      <c r="Z58" s="835">
        <v>0.20200000000000001</v>
      </c>
      <c r="AA58" s="836"/>
      <c r="AB58" s="836"/>
      <c r="AC58" s="837"/>
      <c r="AD58" s="835">
        <v>1</v>
      </c>
      <c r="AE58" s="836"/>
      <c r="AF58" s="836"/>
      <c r="AG58" s="837"/>
      <c r="AJ58" s="84"/>
      <c r="AQ58" s="653"/>
      <c r="AR58" s="654"/>
      <c r="AY58" s="80"/>
      <c r="AZ58" s="80"/>
    </row>
    <row r="59" spans="1:52" s="14" customFormat="1" ht="15.6" customHeight="1" x14ac:dyDescent="0.15">
      <c r="B59" s="701" t="s">
        <v>174</v>
      </c>
      <c r="C59" s="702"/>
      <c r="D59" s="702"/>
      <c r="E59" s="703"/>
      <c r="F59" s="829" t="s">
        <v>9</v>
      </c>
      <c r="G59" s="830"/>
      <c r="H59" s="830"/>
      <c r="I59" s="831"/>
      <c r="J59" s="613">
        <v>1260</v>
      </c>
      <c r="K59" s="614"/>
      <c r="L59" s="614"/>
      <c r="M59" s="615"/>
      <c r="N59" s="613">
        <v>125</v>
      </c>
      <c r="O59" s="614"/>
      <c r="P59" s="614"/>
      <c r="Q59" s="615"/>
      <c r="R59" s="613">
        <v>351</v>
      </c>
      <c r="S59" s="614"/>
      <c r="T59" s="614"/>
      <c r="U59" s="615"/>
      <c r="V59" s="613">
        <v>296</v>
      </c>
      <c r="W59" s="614"/>
      <c r="X59" s="614"/>
      <c r="Y59" s="615"/>
      <c r="Z59" s="613">
        <v>501</v>
      </c>
      <c r="AA59" s="614"/>
      <c r="AB59" s="614"/>
      <c r="AC59" s="615"/>
      <c r="AD59" s="613">
        <f>SUM(J59:AC59)</f>
        <v>2533</v>
      </c>
      <c r="AE59" s="614"/>
      <c r="AF59" s="614"/>
      <c r="AG59" s="615"/>
      <c r="AJ59" s="84"/>
      <c r="AQ59" s="654"/>
      <c r="AR59" s="654"/>
      <c r="AY59" s="80"/>
      <c r="AZ59" s="80"/>
    </row>
    <row r="60" spans="1:52" s="14" customFormat="1" ht="15.6" customHeight="1" x14ac:dyDescent="0.15">
      <c r="B60" s="711"/>
      <c r="C60" s="712"/>
      <c r="D60" s="712"/>
      <c r="E60" s="713"/>
      <c r="F60" s="832" t="s">
        <v>30</v>
      </c>
      <c r="G60" s="833"/>
      <c r="H60" s="833"/>
      <c r="I60" s="834"/>
      <c r="J60" s="835">
        <f>J59/AD59</f>
        <v>0.49743387287801027</v>
      </c>
      <c r="K60" s="836"/>
      <c r="L60" s="836"/>
      <c r="M60" s="837"/>
      <c r="N60" s="835">
        <f>N59/AD59</f>
        <v>4.9348598499802603E-2</v>
      </c>
      <c r="O60" s="836"/>
      <c r="P60" s="836"/>
      <c r="Q60" s="837"/>
      <c r="R60" s="835">
        <f>R59/AD59</f>
        <v>0.13857086458744572</v>
      </c>
      <c r="S60" s="836"/>
      <c r="T60" s="836"/>
      <c r="U60" s="837"/>
      <c r="V60" s="835">
        <f>V59/AD59</f>
        <v>0.11685748124753258</v>
      </c>
      <c r="W60" s="836"/>
      <c r="X60" s="836"/>
      <c r="Y60" s="837"/>
      <c r="Z60" s="835">
        <v>0.19800000000000001</v>
      </c>
      <c r="AA60" s="836"/>
      <c r="AB60" s="836"/>
      <c r="AC60" s="837"/>
      <c r="AD60" s="835">
        <v>1</v>
      </c>
      <c r="AE60" s="836"/>
      <c r="AF60" s="836"/>
      <c r="AG60" s="837"/>
      <c r="AJ60" s="84"/>
      <c r="AQ60" s="654"/>
      <c r="AR60" s="654"/>
      <c r="AY60" s="80"/>
      <c r="AZ60" s="80"/>
    </row>
    <row r="61" spans="1:52" s="14" customFormat="1" ht="15.6" customHeight="1" x14ac:dyDescent="0.15">
      <c r="A61" s="16"/>
      <c r="B61" s="667" t="s">
        <v>31</v>
      </c>
      <c r="C61" s="668"/>
      <c r="D61" s="668"/>
      <c r="E61" s="669"/>
      <c r="F61" s="673" t="s">
        <v>9</v>
      </c>
      <c r="G61" s="673"/>
      <c r="H61" s="673"/>
      <c r="I61" s="673"/>
      <c r="J61" s="674">
        <f>J57-J59</f>
        <v>27</v>
      </c>
      <c r="K61" s="674"/>
      <c r="L61" s="674"/>
      <c r="M61" s="674"/>
      <c r="N61" s="674">
        <f>N57-N59</f>
        <v>-10</v>
      </c>
      <c r="O61" s="674"/>
      <c r="P61" s="674"/>
      <c r="Q61" s="674"/>
      <c r="R61" s="674">
        <f>R57-R59</f>
        <v>20</v>
      </c>
      <c r="S61" s="674"/>
      <c r="T61" s="674"/>
      <c r="U61" s="674"/>
      <c r="V61" s="674">
        <f>V57-V59</f>
        <v>-20</v>
      </c>
      <c r="W61" s="674"/>
      <c r="X61" s="674"/>
      <c r="Y61" s="674"/>
      <c r="Z61" s="674">
        <f>Z57-Z59</f>
        <v>14</v>
      </c>
      <c r="AA61" s="674"/>
      <c r="AB61" s="674"/>
      <c r="AC61" s="674"/>
      <c r="AD61" s="675">
        <f>SUM(J61:AC61)</f>
        <v>31</v>
      </c>
      <c r="AE61" s="676"/>
      <c r="AF61" s="676"/>
      <c r="AG61" s="677"/>
      <c r="AH61" s="16"/>
      <c r="AI61" s="16"/>
      <c r="AJ61" s="16"/>
      <c r="AK61" s="16"/>
      <c r="AL61" s="16"/>
      <c r="AM61" s="16"/>
      <c r="AQ61" s="654"/>
      <c r="AR61" s="654"/>
      <c r="AY61" s="80"/>
      <c r="AZ61" s="80"/>
    </row>
    <row r="62" spans="1:52" s="14" customFormat="1" ht="15.6" customHeight="1" x14ac:dyDescent="0.15">
      <c r="A62" s="16"/>
      <c r="B62" s="670"/>
      <c r="C62" s="671"/>
      <c r="D62" s="671"/>
      <c r="E62" s="672"/>
      <c r="F62" s="692" t="s">
        <v>32</v>
      </c>
      <c r="G62" s="692"/>
      <c r="H62" s="692"/>
      <c r="I62" s="692"/>
      <c r="J62" s="693">
        <f>J57/J59</f>
        <v>1.0214285714285714</v>
      </c>
      <c r="K62" s="693"/>
      <c r="L62" s="693"/>
      <c r="M62" s="693"/>
      <c r="N62" s="693">
        <f>N57/N59</f>
        <v>0.92</v>
      </c>
      <c r="O62" s="693"/>
      <c r="P62" s="693"/>
      <c r="Q62" s="693"/>
      <c r="R62" s="693">
        <f>R57/R59</f>
        <v>1.0569800569800569</v>
      </c>
      <c r="S62" s="693"/>
      <c r="T62" s="693"/>
      <c r="U62" s="693"/>
      <c r="V62" s="693">
        <f>V57/V59</f>
        <v>0.93243243243243246</v>
      </c>
      <c r="W62" s="693"/>
      <c r="X62" s="693"/>
      <c r="Y62" s="693"/>
      <c r="Z62" s="693">
        <f>Z57/Z59</f>
        <v>1.0279441117764472</v>
      </c>
      <c r="AA62" s="693"/>
      <c r="AB62" s="693"/>
      <c r="AC62" s="693"/>
      <c r="AD62" s="694">
        <f>AD57/AD59</f>
        <v>1.0122384524279511</v>
      </c>
      <c r="AE62" s="695"/>
      <c r="AF62" s="695"/>
      <c r="AG62" s="696"/>
      <c r="AH62" s="16"/>
      <c r="AI62" s="16"/>
      <c r="AJ62" s="16"/>
      <c r="AK62" s="16"/>
      <c r="AL62" s="16"/>
      <c r="AM62" s="16"/>
      <c r="AQ62" s="654"/>
      <c r="AR62" s="654"/>
      <c r="AY62" s="80"/>
      <c r="AZ62" s="80"/>
    </row>
    <row r="63" spans="1:52" s="3" customFormat="1" ht="15.6" customHeight="1" x14ac:dyDescent="0.15">
      <c r="A63" s="49"/>
      <c r="B63" s="142"/>
      <c r="C63" s="142"/>
      <c r="D63" s="135"/>
      <c r="E63" s="135"/>
      <c r="F63" s="135"/>
      <c r="G63" s="135"/>
      <c r="H63" s="131"/>
      <c r="I63" s="145"/>
      <c r="J63" s="145"/>
      <c r="K63" s="145"/>
      <c r="L63" s="145"/>
      <c r="M63" s="142"/>
      <c r="N63" s="145"/>
      <c r="O63" s="145"/>
      <c r="P63" s="145"/>
      <c r="Q63" s="145"/>
      <c r="R63" s="142"/>
      <c r="S63" s="135"/>
      <c r="T63" s="135"/>
      <c r="U63" s="135"/>
      <c r="V63" s="135"/>
      <c r="W63" s="143"/>
      <c r="X63" s="143"/>
      <c r="Y63" s="145"/>
      <c r="Z63" s="37"/>
      <c r="AA63" s="145"/>
      <c r="AB63" s="145"/>
      <c r="AC63" s="143"/>
      <c r="AD63" s="143"/>
      <c r="AE63" s="135"/>
      <c r="AF63" s="135"/>
      <c r="AG63" s="135"/>
      <c r="AH63" s="16"/>
      <c r="AI63" s="16"/>
      <c r="AJ63" s="16"/>
      <c r="AK63" s="16"/>
      <c r="AL63" s="16"/>
      <c r="AM63" s="16"/>
      <c r="AN63" s="14"/>
      <c r="AO63" s="14"/>
      <c r="AP63" s="14"/>
      <c r="AQ63" s="654"/>
      <c r="AR63" s="654"/>
      <c r="AY63" s="79"/>
      <c r="AZ63" s="79"/>
    </row>
    <row r="64" spans="1:52" s="3" customFormat="1" ht="15.6" customHeight="1" x14ac:dyDescent="0.15">
      <c r="A64" s="56" t="s">
        <v>110</v>
      </c>
      <c r="B64" s="24"/>
      <c r="C64" s="24"/>
      <c r="D64" s="24"/>
      <c r="E64" s="24"/>
      <c r="F64" s="24"/>
      <c r="G64" s="78" t="s">
        <v>175</v>
      </c>
      <c r="H64" s="45"/>
      <c r="I64" s="45"/>
      <c r="J64" s="45"/>
      <c r="K64" s="45"/>
      <c r="L64" s="45"/>
      <c r="M64" s="45"/>
      <c r="N64" s="45"/>
      <c r="O64" s="36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120" t="s">
        <v>40</v>
      </c>
      <c r="AH64" s="16"/>
      <c r="AI64" s="16"/>
      <c r="AJ64" s="16"/>
      <c r="AK64" s="16"/>
      <c r="AL64" s="16"/>
      <c r="AM64" s="16"/>
      <c r="AN64" s="16"/>
      <c r="AO64" s="16"/>
      <c r="AP64" s="16"/>
      <c r="AQ64" s="654"/>
      <c r="AR64" s="654"/>
      <c r="AS64" s="16"/>
      <c r="AT64" s="16"/>
      <c r="AU64" s="16"/>
      <c r="AY64" s="79"/>
      <c r="AZ64" s="79"/>
    </row>
    <row r="65" spans="1:52" s="3" customFormat="1" ht="15.6" customHeight="1" x14ac:dyDescent="0.15">
      <c r="A65" s="49"/>
      <c r="B65" s="678" t="s">
        <v>25</v>
      </c>
      <c r="C65" s="679"/>
      <c r="D65" s="680"/>
      <c r="E65" s="684" t="s">
        <v>41</v>
      </c>
      <c r="F65" s="685"/>
      <c r="G65" s="686"/>
      <c r="H65" s="684" t="s">
        <v>42</v>
      </c>
      <c r="I65" s="685"/>
      <c r="J65" s="686"/>
      <c r="K65" s="684" t="s">
        <v>43</v>
      </c>
      <c r="L65" s="685"/>
      <c r="M65" s="690" t="s">
        <v>44</v>
      </c>
      <c r="N65" s="690"/>
      <c r="O65" s="690" t="s">
        <v>45</v>
      </c>
      <c r="P65" s="690"/>
      <c r="Q65" s="690"/>
      <c r="R65" s="684" t="s">
        <v>46</v>
      </c>
      <c r="S65" s="686"/>
      <c r="T65" s="684" t="s">
        <v>47</v>
      </c>
      <c r="U65" s="686"/>
      <c r="V65" s="690" t="s">
        <v>48</v>
      </c>
      <c r="W65" s="690"/>
      <c r="X65" s="690" t="s">
        <v>112</v>
      </c>
      <c r="Y65" s="690"/>
      <c r="Z65" s="684" t="s">
        <v>113</v>
      </c>
      <c r="AA65" s="685"/>
      <c r="AB65" s="686"/>
      <c r="AC65" s="697" t="s">
        <v>128</v>
      </c>
      <c r="AD65" s="698"/>
      <c r="AE65" s="684" t="s">
        <v>82</v>
      </c>
      <c r="AF65" s="685"/>
      <c r="AG65" s="686"/>
      <c r="AH65" s="16"/>
      <c r="AI65" s="16"/>
      <c r="AJ65" s="16"/>
      <c r="AK65" s="16"/>
      <c r="AL65" s="16"/>
      <c r="AM65" s="16"/>
      <c r="AN65" s="16"/>
      <c r="AO65" s="16"/>
      <c r="AP65" s="16"/>
      <c r="AQ65" s="654"/>
      <c r="AR65" s="654"/>
      <c r="AS65" s="16"/>
      <c r="AT65" s="16"/>
      <c r="AU65" s="16"/>
      <c r="AY65" s="79"/>
      <c r="AZ65" s="79"/>
    </row>
    <row r="66" spans="1:52" s="3" customFormat="1" ht="15.6" customHeight="1" x14ac:dyDescent="0.15">
      <c r="A66" s="49"/>
      <c r="B66" s="681"/>
      <c r="C66" s="682"/>
      <c r="D66" s="683"/>
      <c r="E66" s="687"/>
      <c r="F66" s="688"/>
      <c r="G66" s="689"/>
      <c r="H66" s="687"/>
      <c r="I66" s="688"/>
      <c r="J66" s="689"/>
      <c r="K66" s="687"/>
      <c r="L66" s="688"/>
      <c r="M66" s="691"/>
      <c r="N66" s="691"/>
      <c r="O66" s="691"/>
      <c r="P66" s="691"/>
      <c r="Q66" s="691"/>
      <c r="R66" s="687"/>
      <c r="S66" s="689"/>
      <c r="T66" s="687"/>
      <c r="U66" s="689"/>
      <c r="V66" s="691"/>
      <c r="W66" s="691"/>
      <c r="X66" s="691"/>
      <c r="Y66" s="691"/>
      <c r="Z66" s="687"/>
      <c r="AA66" s="688"/>
      <c r="AB66" s="689"/>
      <c r="AC66" s="699"/>
      <c r="AD66" s="700"/>
      <c r="AE66" s="687"/>
      <c r="AF66" s="688"/>
      <c r="AG66" s="689"/>
      <c r="AH66" s="16"/>
      <c r="AI66" s="16"/>
      <c r="AJ66" s="16"/>
      <c r="AK66" s="16"/>
      <c r="AL66" s="16"/>
      <c r="AM66" s="16"/>
      <c r="AN66" s="16"/>
      <c r="AO66" s="16"/>
      <c r="AP66" s="16"/>
      <c r="AQ66" s="654"/>
      <c r="AR66" s="654"/>
      <c r="AS66" s="16"/>
      <c r="AT66" s="16"/>
      <c r="AU66" s="16"/>
      <c r="AY66" s="79"/>
      <c r="AZ66" s="79"/>
    </row>
    <row r="67" spans="1:52" s="14" customFormat="1" ht="15.6" customHeight="1" x14ac:dyDescent="0.15">
      <c r="A67" s="146"/>
      <c r="B67" s="701" t="s">
        <v>86</v>
      </c>
      <c r="C67" s="702"/>
      <c r="D67" s="703"/>
      <c r="E67" s="667">
        <v>2208</v>
      </c>
      <c r="F67" s="668"/>
      <c r="G67" s="669"/>
      <c r="H67" s="667">
        <v>2322</v>
      </c>
      <c r="I67" s="668"/>
      <c r="J67" s="669"/>
      <c r="K67" s="667">
        <v>118</v>
      </c>
      <c r="L67" s="668"/>
      <c r="M67" s="673">
        <v>592</v>
      </c>
      <c r="N67" s="673"/>
      <c r="O67" s="673">
        <v>2130</v>
      </c>
      <c r="P67" s="673"/>
      <c r="Q67" s="673"/>
      <c r="R67" s="667">
        <v>1</v>
      </c>
      <c r="S67" s="669"/>
      <c r="T67" s="667">
        <v>66</v>
      </c>
      <c r="U67" s="669"/>
      <c r="V67" s="673">
        <v>14</v>
      </c>
      <c r="W67" s="673"/>
      <c r="X67" s="673">
        <v>11</v>
      </c>
      <c r="Y67" s="673"/>
      <c r="Z67" s="667">
        <v>2</v>
      </c>
      <c r="AA67" s="668"/>
      <c r="AB67" s="669"/>
      <c r="AC67" s="667">
        <v>1</v>
      </c>
      <c r="AD67" s="669"/>
      <c r="AE67" s="667">
        <f>SUM(E67:AD68)</f>
        <v>7465</v>
      </c>
      <c r="AF67" s="668"/>
      <c r="AG67" s="669"/>
      <c r="AH67" s="541"/>
      <c r="AI67" s="541"/>
      <c r="AJ67" s="541"/>
      <c r="AK67" s="541"/>
      <c r="AL67" s="541"/>
      <c r="AM67" s="541"/>
      <c r="AN67" s="541"/>
      <c r="AO67" s="541"/>
      <c r="AP67" s="541"/>
      <c r="AQ67" s="654"/>
      <c r="AR67" s="654"/>
      <c r="AS67" s="146"/>
      <c r="AT67" s="146"/>
      <c r="AU67" s="146"/>
      <c r="AY67" s="80"/>
      <c r="AZ67" s="80"/>
    </row>
    <row r="68" spans="1:52" s="14" customFormat="1" ht="15.6" customHeight="1" x14ac:dyDescent="0.15">
      <c r="A68" s="146"/>
      <c r="B68" s="711"/>
      <c r="C68" s="712"/>
      <c r="D68" s="713"/>
      <c r="E68" s="670"/>
      <c r="F68" s="671"/>
      <c r="G68" s="672"/>
      <c r="H68" s="670"/>
      <c r="I68" s="671"/>
      <c r="J68" s="672"/>
      <c r="K68" s="670"/>
      <c r="L68" s="671"/>
      <c r="M68" s="714"/>
      <c r="N68" s="714"/>
      <c r="O68" s="714"/>
      <c r="P68" s="714"/>
      <c r="Q68" s="714"/>
      <c r="R68" s="670"/>
      <c r="S68" s="672"/>
      <c r="T68" s="670"/>
      <c r="U68" s="672"/>
      <c r="V68" s="714"/>
      <c r="W68" s="714"/>
      <c r="X68" s="714"/>
      <c r="Y68" s="714"/>
      <c r="Z68" s="670"/>
      <c r="AA68" s="671"/>
      <c r="AB68" s="672"/>
      <c r="AC68" s="670"/>
      <c r="AD68" s="672"/>
      <c r="AE68" s="670"/>
      <c r="AF68" s="671"/>
      <c r="AG68" s="672"/>
      <c r="AH68" s="541"/>
      <c r="AI68" s="541"/>
      <c r="AJ68" s="541"/>
      <c r="AK68" s="541"/>
      <c r="AL68" s="541"/>
      <c r="AM68" s="541"/>
      <c r="AN68" s="541"/>
      <c r="AO68" s="541"/>
      <c r="AP68" s="541"/>
      <c r="AQ68" s="654"/>
      <c r="AR68" s="654"/>
      <c r="AS68" s="146"/>
      <c r="AT68" s="146"/>
      <c r="AU68" s="146"/>
      <c r="AY68" s="80"/>
      <c r="AZ68" s="80"/>
    </row>
    <row r="69" spans="1:52" s="14" customFormat="1" ht="15.6" customHeight="1" x14ac:dyDescent="0.15">
      <c r="A69" s="146"/>
      <c r="B69" s="701" t="s">
        <v>87</v>
      </c>
      <c r="C69" s="702"/>
      <c r="D69" s="703"/>
      <c r="E69" s="667">
        <v>2867</v>
      </c>
      <c r="F69" s="668"/>
      <c r="G69" s="669"/>
      <c r="H69" s="667">
        <v>2976</v>
      </c>
      <c r="I69" s="668"/>
      <c r="J69" s="669"/>
      <c r="K69" s="667">
        <v>177</v>
      </c>
      <c r="L69" s="668"/>
      <c r="M69" s="673">
        <v>614</v>
      </c>
      <c r="N69" s="673"/>
      <c r="O69" s="673">
        <v>2623</v>
      </c>
      <c r="P69" s="673"/>
      <c r="Q69" s="673"/>
      <c r="R69" s="667">
        <v>1</v>
      </c>
      <c r="S69" s="669"/>
      <c r="T69" s="667">
        <v>79</v>
      </c>
      <c r="U69" s="669"/>
      <c r="V69" s="673">
        <v>14</v>
      </c>
      <c r="W69" s="673"/>
      <c r="X69" s="673">
        <v>11</v>
      </c>
      <c r="Y69" s="673"/>
      <c r="Z69" s="667">
        <v>2</v>
      </c>
      <c r="AA69" s="668"/>
      <c r="AB69" s="669"/>
      <c r="AC69" s="667">
        <v>1</v>
      </c>
      <c r="AD69" s="669"/>
      <c r="AE69" s="723">
        <f>SUM(E69:AC70)</f>
        <v>9365</v>
      </c>
      <c r="AF69" s="724"/>
      <c r="AG69" s="725"/>
      <c r="AH69" s="541"/>
      <c r="AI69" s="541"/>
      <c r="AJ69" s="541"/>
      <c r="AK69" s="541"/>
      <c r="AL69" s="541"/>
      <c r="AM69" s="541"/>
      <c r="AN69" s="541"/>
      <c r="AO69" s="541"/>
      <c r="AP69" s="541"/>
      <c r="AQ69" s="86"/>
      <c r="AR69" s="86"/>
      <c r="AS69" s="146"/>
      <c r="AT69" s="146"/>
      <c r="AU69" s="146"/>
      <c r="AY69" s="80"/>
      <c r="AZ69" s="80"/>
    </row>
    <row r="70" spans="1:52" s="14" customFormat="1" ht="15.6" customHeight="1" thickBot="1" x14ac:dyDescent="0.2">
      <c r="A70" s="16"/>
      <c r="B70" s="704"/>
      <c r="C70" s="705"/>
      <c r="D70" s="706"/>
      <c r="E70" s="707"/>
      <c r="F70" s="708"/>
      <c r="G70" s="709"/>
      <c r="H70" s="707"/>
      <c r="I70" s="708"/>
      <c r="J70" s="709"/>
      <c r="K70" s="707"/>
      <c r="L70" s="708"/>
      <c r="M70" s="710"/>
      <c r="N70" s="710"/>
      <c r="O70" s="710"/>
      <c r="P70" s="710"/>
      <c r="Q70" s="710"/>
      <c r="R70" s="707"/>
      <c r="S70" s="709"/>
      <c r="T70" s="707"/>
      <c r="U70" s="709"/>
      <c r="V70" s="710"/>
      <c r="W70" s="710"/>
      <c r="X70" s="710"/>
      <c r="Y70" s="710"/>
      <c r="Z70" s="707"/>
      <c r="AA70" s="708"/>
      <c r="AB70" s="709"/>
      <c r="AC70" s="707"/>
      <c r="AD70" s="709"/>
      <c r="AE70" s="707"/>
      <c r="AF70" s="708"/>
      <c r="AG70" s="709"/>
      <c r="AH70" s="16"/>
      <c r="AI70" s="16"/>
      <c r="AJ70" s="16"/>
      <c r="AK70" s="16"/>
      <c r="AL70" s="16"/>
      <c r="AM70" s="16"/>
      <c r="AN70" s="16"/>
      <c r="AO70" s="16"/>
      <c r="AP70" s="16"/>
      <c r="AQ70" s="87"/>
      <c r="AR70" s="87"/>
      <c r="AS70" s="16"/>
      <c r="AT70" s="16"/>
      <c r="AU70" s="16"/>
      <c r="AY70" s="80"/>
      <c r="AZ70" s="80"/>
    </row>
    <row r="71" spans="1:52" s="14" customFormat="1" ht="15.6" customHeight="1" thickTop="1" x14ac:dyDescent="0.15">
      <c r="A71" s="16"/>
      <c r="B71" s="874" t="s">
        <v>159</v>
      </c>
      <c r="C71" s="875"/>
      <c r="D71" s="876"/>
      <c r="E71" s="847">
        <v>1797333</v>
      </c>
      <c r="F71" s="848"/>
      <c r="G71" s="849"/>
      <c r="H71" s="847">
        <v>1033415</v>
      </c>
      <c r="I71" s="848"/>
      <c r="J71" s="849"/>
      <c r="K71" s="847">
        <v>16563</v>
      </c>
      <c r="L71" s="848"/>
      <c r="M71" s="855">
        <v>196035</v>
      </c>
      <c r="N71" s="855"/>
      <c r="O71" s="855">
        <v>2794624</v>
      </c>
      <c r="P71" s="855"/>
      <c r="Q71" s="855"/>
      <c r="R71" s="847">
        <v>245</v>
      </c>
      <c r="S71" s="849"/>
      <c r="T71" s="847">
        <v>10120</v>
      </c>
      <c r="U71" s="849"/>
      <c r="V71" s="855">
        <v>17768</v>
      </c>
      <c r="W71" s="855"/>
      <c r="X71" s="855">
        <v>26860</v>
      </c>
      <c r="Y71" s="855"/>
      <c r="Z71" s="847">
        <v>1166</v>
      </c>
      <c r="AA71" s="848"/>
      <c r="AB71" s="849"/>
      <c r="AC71" s="870">
        <v>800</v>
      </c>
      <c r="AD71" s="871"/>
      <c r="AE71" s="847">
        <f>SUM(E71:AD72)</f>
        <v>5894929</v>
      </c>
      <c r="AF71" s="848"/>
      <c r="AG71" s="849"/>
      <c r="AH71" s="16"/>
      <c r="AI71" s="537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Y71" s="80"/>
      <c r="AZ71" s="80"/>
    </row>
    <row r="72" spans="1:52" s="14" customFormat="1" ht="15.6" customHeight="1" x14ac:dyDescent="0.15">
      <c r="A72" s="16"/>
      <c r="B72" s="877"/>
      <c r="C72" s="878"/>
      <c r="D72" s="879"/>
      <c r="E72" s="850"/>
      <c r="F72" s="851"/>
      <c r="G72" s="852"/>
      <c r="H72" s="850"/>
      <c r="I72" s="851"/>
      <c r="J72" s="852"/>
      <c r="K72" s="853"/>
      <c r="L72" s="854"/>
      <c r="M72" s="856"/>
      <c r="N72" s="856"/>
      <c r="O72" s="856"/>
      <c r="P72" s="856"/>
      <c r="Q72" s="856"/>
      <c r="R72" s="850"/>
      <c r="S72" s="852"/>
      <c r="T72" s="850"/>
      <c r="U72" s="852"/>
      <c r="V72" s="856"/>
      <c r="W72" s="856"/>
      <c r="X72" s="856"/>
      <c r="Y72" s="856"/>
      <c r="Z72" s="853"/>
      <c r="AA72" s="854"/>
      <c r="AB72" s="864"/>
      <c r="AC72" s="872"/>
      <c r="AD72" s="873"/>
      <c r="AE72" s="853"/>
      <c r="AF72" s="854"/>
      <c r="AG72" s="864"/>
      <c r="AH72" s="16"/>
      <c r="AI72" s="537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Y72" s="80"/>
      <c r="AZ72" s="80"/>
    </row>
    <row r="73" spans="1:52" s="14" customFormat="1" ht="15.6" customHeight="1" x14ac:dyDescent="0.15">
      <c r="A73" s="16"/>
      <c r="B73" s="865" t="s">
        <v>30</v>
      </c>
      <c r="C73" s="866"/>
      <c r="D73" s="867"/>
      <c r="E73" s="858">
        <v>0.3049</v>
      </c>
      <c r="F73" s="859"/>
      <c r="G73" s="860"/>
      <c r="H73" s="858">
        <f>H71/AE71</f>
        <v>0.17530575855960268</v>
      </c>
      <c r="I73" s="859"/>
      <c r="J73" s="860"/>
      <c r="K73" s="858">
        <f>K71/AE71</f>
        <v>2.8097030515549892E-3</v>
      </c>
      <c r="L73" s="860"/>
      <c r="M73" s="858">
        <f>M71/AE71</f>
        <v>3.3254853451161158E-2</v>
      </c>
      <c r="N73" s="859"/>
      <c r="O73" s="858">
        <f>O71/AE71</f>
        <v>0.47407254608155586</v>
      </c>
      <c r="P73" s="859"/>
      <c r="Q73" s="860"/>
      <c r="R73" s="868">
        <f>R71/AE71</f>
        <v>4.1561145180883433E-5</v>
      </c>
      <c r="S73" s="869"/>
      <c r="T73" s="868">
        <f>T71/AE71</f>
        <v>1.7167297519613892E-3</v>
      </c>
      <c r="U73" s="869"/>
      <c r="V73" s="857">
        <f>V71/AE71</f>
        <v>3.0141160309140281E-3</v>
      </c>
      <c r="W73" s="857"/>
      <c r="X73" s="857">
        <f>X71/AE71</f>
        <v>4.5564586104429759E-3</v>
      </c>
      <c r="Y73" s="857"/>
      <c r="Z73" s="858">
        <f>Z71/AE71</f>
        <v>1.9779712359555137E-4</v>
      </c>
      <c r="AA73" s="859"/>
      <c r="AB73" s="860"/>
      <c r="AC73" s="858">
        <f>AC71/AE71</f>
        <v>1.3570986181512959E-4</v>
      </c>
      <c r="AD73" s="860"/>
      <c r="AE73" s="861">
        <v>1</v>
      </c>
      <c r="AF73" s="862"/>
      <c r="AG73" s="863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Y73" s="80"/>
      <c r="AZ73" s="80"/>
    </row>
    <row r="74" spans="1:52" s="3" customFormat="1" ht="15.6" customHeight="1" x14ac:dyDescent="0.15">
      <c r="A74" s="49"/>
      <c r="B74" s="145"/>
      <c r="C74" s="142"/>
      <c r="D74" s="142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70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Y74" s="79"/>
      <c r="AZ74" s="79"/>
    </row>
    <row r="75" spans="1:52" s="3" customFormat="1" ht="15.6" customHeight="1" x14ac:dyDescent="0.15">
      <c r="A75" s="50" t="s">
        <v>71</v>
      </c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38" t="s">
        <v>33</v>
      </c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Y75" s="79"/>
      <c r="AZ75" s="79"/>
    </row>
    <row r="76" spans="1:52" s="3" customFormat="1" ht="15.6" customHeight="1" x14ac:dyDescent="0.15">
      <c r="A76" s="49"/>
      <c r="B76" s="730" t="s">
        <v>34</v>
      </c>
      <c r="C76" s="730"/>
      <c r="D76" s="730"/>
      <c r="E76" s="730"/>
      <c r="F76" s="730"/>
      <c r="G76" s="730"/>
      <c r="H76" s="730" t="s">
        <v>35</v>
      </c>
      <c r="I76" s="730"/>
      <c r="J76" s="730"/>
      <c r="K76" s="730"/>
      <c r="L76" s="730"/>
      <c r="M76" s="730"/>
      <c r="N76" s="730"/>
      <c r="O76" s="730"/>
      <c r="P76" s="730"/>
      <c r="Q76" s="730"/>
      <c r="R76" s="730"/>
      <c r="S76" s="730"/>
      <c r="T76" s="730"/>
      <c r="U76" s="730"/>
      <c r="V76" s="730"/>
      <c r="W76" s="730"/>
      <c r="X76" s="730"/>
      <c r="Y76" s="730"/>
      <c r="Z76" s="549" t="s">
        <v>36</v>
      </c>
      <c r="AA76" s="550"/>
      <c r="AB76" s="550"/>
      <c r="AC76" s="550"/>
      <c r="AD76" s="550"/>
      <c r="AE76" s="550"/>
      <c r="AF76" s="550"/>
      <c r="AG76" s="551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Y76" s="79"/>
      <c r="AZ76" s="79"/>
    </row>
    <row r="77" spans="1:52" s="3" customFormat="1" ht="15.6" customHeight="1" x14ac:dyDescent="0.15">
      <c r="A77" s="49"/>
      <c r="B77" s="730"/>
      <c r="C77" s="730"/>
      <c r="D77" s="730"/>
      <c r="E77" s="730"/>
      <c r="F77" s="730"/>
      <c r="G77" s="730"/>
      <c r="H77" s="730" t="s">
        <v>37</v>
      </c>
      <c r="I77" s="730"/>
      <c r="J77" s="730"/>
      <c r="K77" s="730"/>
      <c r="L77" s="730"/>
      <c r="M77" s="730"/>
      <c r="N77" s="730" t="s">
        <v>38</v>
      </c>
      <c r="O77" s="730"/>
      <c r="P77" s="730"/>
      <c r="Q77" s="730"/>
      <c r="R77" s="730"/>
      <c r="S77" s="730"/>
      <c r="T77" s="730" t="s">
        <v>39</v>
      </c>
      <c r="U77" s="730"/>
      <c r="V77" s="730"/>
      <c r="W77" s="730"/>
      <c r="X77" s="730"/>
      <c r="Y77" s="730"/>
      <c r="Z77" s="552"/>
      <c r="AA77" s="553"/>
      <c r="AB77" s="553"/>
      <c r="AC77" s="553"/>
      <c r="AD77" s="553"/>
      <c r="AE77" s="553"/>
      <c r="AF77" s="553"/>
      <c r="AG77" s="554"/>
      <c r="AH77" s="16"/>
      <c r="AI77" s="16"/>
      <c r="AJ77" s="16"/>
      <c r="AK77" s="16"/>
      <c r="AL77" s="14"/>
      <c r="AM77" s="14"/>
      <c r="AN77" s="14"/>
      <c r="AO77" s="14"/>
      <c r="AP77" s="14"/>
      <c r="AY77" s="79"/>
      <c r="AZ77" s="79"/>
    </row>
    <row r="78" spans="1:52" s="3" customFormat="1" ht="15.6" customHeight="1" x14ac:dyDescent="0.15">
      <c r="A78" s="49"/>
      <c r="B78" s="731" t="s">
        <v>136</v>
      </c>
      <c r="C78" s="732"/>
      <c r="D78" s="732"/>
      <c r="E78" s="732"/>
      <c r="F78" s="732"/>
      <c r="G78" s="733"/>
      <c r="H78" s="734">
        <v>5190000</v>
      </c>
      <c r="I78" s="735"/>
      <c r="J78" s="735"/>
      <c r="K78" s="735"/>
      <c r="L78" s="735"/>
      <c r="M78" s="736"/>
      <c r="N78" s="737">
        <v>210000</v>
      </c>
      <c r="O78" s="738"/>
      <c r="P78" s="738"/>
      <c r="Q78" s="738"/>
      <c r="R78" s="738"/>
      <c r="S78" s="739"/>
      <c r="T78" s="734">
        <f t="shared" ref="T78:T81" si="1">SUM(H78:S78)</f>
        <v>5400000</v>
      </c>
      <c r="U78" s="735"/>
      <c r="V78" s="735"/>
      <c r="W78" s="735"/>
      <c r="X78" s="735"/>
      <c r="Y78" s="736"/>
      <c r="Z78" s="740">
        <v>5385302</v>
      </c>
      <c r="AA78" s="741"/>
      <c r="AB78" s="741"/>
      <c r="AC78" s="741"/>
      <c r="AD78" s="741"/>
      <c r="AE78" s="741"/>
      <c r="AF78" s="741"/>
      <c r="AG78" s="742"/>
      <c r="AH78" s="16"/>
      <c r="AI78" s="16"/>
      <c r="AJ78" s="16"/>
      <c r="AK78" s="16"/>
      <c r="AL78" s="14"/>
      <c r="AM78" s="14"/>
      <c r="AN78" s="14"/>
      <c r="AO78" s="14"/>
      <c r="AP78" s="14"/>
      <c r="AY78" s="79"/>
      <c r="AZ78" s="79"/>
    </row>
    <row r="79" spans="1:52" s="3" customFormat="1" ht="15.6" customHeight="1" x14ac:dyDescent="0.15">
      <c r="A79" s="49"/>
      <c r="B79" s="731" t="s">
        <v>137</v>
      </c>
      <c r="C79" s="732"/>
      <c r="D79" s="732"/>
      <c r="E79" s="732"/>
      <c r="F79" s="732"/>
      <c r="G79" s="733"/>
      <c r="H79" s="734">
        <v>5300000</v>
      </c>
      <c r="I79" s="735"/>
      <c r="J79" s="735"/>
      <c r="K79" s="735"/>
      <c r="L79" s="735"/>
      <c r="M79" s="736"/>
      <c r="N79" s="737">
        <v>346000</v>
      </c>
      <c r="O79" s="738"/>
      <c r="P79" s="738"/>
      <c r="Q79" s="738"/>
      <c r="R79" s="738"/>
      <c r="S79" s="739"/>
      <c r="T79" s="734">
        <f t="shared" si="1"/>
        <v>5646000</v>
      </c>
      <c r="U79" s="735"/>
      <c r="V79" s="735"/>
      <c r="W79" s="735"/>
      <c r="X79" s="735"/>
      <c r="Y79" s="736"/>
      <c r="Z79" s="740">
        <v>5636644</v>
      </c>
      <c r="AA79" s="741"/>
      <c r="AB79" s="741"/>
      <c r="AC79" s="741"/>
      <c r="AD79" s="741"/>
      <c r="AE79" s="741"/>
      <c r="AF79" s="741"/>
      <c r="AG79" s="742"/>
      <c r="AH79" s="16"/>
      <c r="AI79" s="16"/>
      <c r="AJ79" s="16"/>
      <c r="AK79" s="16"/>
      <c r="AL79" s="14"/>
      <c r="AM79" s="14"/>
      <c r="AN79" s="14"/>
      <c r="AO79" s="14"/>
      <c r="AP79" s="14"/>
      <c r="AY79" s="79"/>
      <c r="AZ79" s="79"/>
    </row>
    <row r="80" spans="1:52" s="3" customFormat="1" ht="15.6" customHeight="1" x14ac:dyDescent="0.15">
      <c r="A80" s="49"/>
      <c r="B80" s="731" t="s">
        <v>138</v>
      </c>
      <c r="C80" s="732"/>
      <c r="D80" s="732"/>
      <c r="E80" s="732"/>
      <c r="F80" s="732"/>
      <c r="G80" s="733"/>
      <c r="H80" s="734">
        <v>5310000</v>
      </c>
      <c r="I80" s="735"/>
      <c r="J80" s="735"/>
      <c r="K80" s="735"/>
      <c r="L80" s="735"/>
      <c r="M80" s="736"/>
      <c r="N80" s="743">
        <v>197000</v>
      </c>
      <c r="O80" s="744"/>
      <c r="P80" s="744"/>
      <c r="Q80" s="744"/>
      <c r="R80" s="744"/>
      <c r="S80" s="745"/>
      <c r="T80" s="734">
        <f t="shared" si="1"/>
        <v>5507000</v>
      </c>
      <c r="U80" s="735"/>
      <c r="V80" s="735"/>
      <c r="W80" s="735"/>
      <c r="X80" s="735"/>
      <c r="Y80" s="736"/>
      <c r="Z80" s="734">
        <v>5500325</v>
      </c>
      <c r="AA80" s="735"/>
      <c r="AB80" s="735"/>
      <c r="AC80" s="735"/>
      <c r="AD80" s="735"/>
      <c r="AE80" s="735"/>
      <c r="AF80" s="735"/>
      <c r="AG80" s="736"/>
      <c r="AH80" s="16"/>
      <c r="AI80" s="16"/>
      <c r="AJ80" s="16"/>
      <c r="AK80" s="16"/>
      <c r="AL80" s="16"/>
      <c r="AM80" s="16"/>
      <c r="AN80" s="16"/>
      <c r="AO80" s="16"/>
      <c r="AP80" s="14"/>
      <c r="AY80" s="79"/>
      <c r="AZ80" s="79"/>
    </row>
    <row r="81" spans="1:54" s="3" customFormat="1" ht="15.6" customHeight="1" x14ac:dyDescent="0.15">
      <c r="A81" s="49"/>
      <c r="B81" s="746" t="s">
        <v>132</v>
      </c>
      <c r="C81" s="746"/>
      <c r="D81" s="746"/>
      <c r="E81" s="746"/>
      <c r="F81" s="746"/>
      <c r="G81" s="746"/>
      <c r="H81" s="747">
        <v>5510000</v>
      </c>
      <c r="I81" s="748"/>
      <c r="J81" s="748"/>
      <c r="K81" s="748"/>
      <c r="L81" s="748"/>
      <c r="M81" s="749"/>
      <c r="N81" s="743">
        <v>388000</v>
      </c>
      <c r="O81" s="744"/>
      <c r="P81" s="744"/>
      <c r="Q81" s="744"/>
      <c r="R81" s="744"/>
      <c r="S81" s="745"/>
      <c r="T81" s="747">
        <f t="shared" si="1"/>
        <v>5898000</v>
      </c>
      <c r="U81" s="748"/>
      <c r="V81" s="748"/>
      <c r="W81" s="748"/>
      <c r="X81" s="748"/>
      <c r="Y81" s="749"/>
      <c r="Z81" s="747">
        <v>5894929</v>
      </c>
      <c r="AA81" s="748"/>
      <c r="AB81" s="748"/>
      <c r="AC81" s="748"/>
      <c r="AD81" s="748"/>
      <c r="AE81" s="748"/>
      <c r="AF81" s="748"/>
      <c r="AG81" s="749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Y81" s="79"/>
      <c r="AZ81" s="79"/>
    </row>
    <row r="82" spans="1:54" s="14" customFormat="1" ht="15.6" customHeight="1" x14ac:dyDescent="0.15">
      <c r="A82" s="16"/>
      <c r="B82" s="746" t="s">
        <v>145</v>
      </c>
      <c r="C82" s="746"/>
      <c r="D82" s="746"/>
      <c r="E82" s="746"/>
      <c r="F82" s="746"/>
      <c r="G82" s="746"/>
      <c r="H82" s="747">
        <v>5596000</v>
      </c>
      <c r="I82" s="748"/>
      <c r="J82" s="748"/>
      <c r="K82" s="748"/>
      <c r="L82" s="748"/>
      <c r="M82" s="749"/>
      <c r="N82" s="743">
        <v>448000</v>
      </c>
      <c r="O82" s="744"/>
      <c r="P82" s="744"/>
      <c r="Q82" s="744"/>
      <c r="R82" s="744"/>
      <c r="S82" s="745"/>
      <c r="T82" s="747">
        <f>SUM(H82:S82)</f>
        <v>6044000</v>
      </c>
      <c r="U82" s="748"/>
      <c r="V82" s="748"/>
      <c r="W82" s="748"/>
      <c r="X82" s="748"/>
      <c r="Y82" s="749"/>
      <c r="Z82" s="844"/>
      <c r="AA82" s="845"/>
      <c r="AB82" s="845"/>
      <c r="AC82" s="845"/>
      <c r="AD82" s="845"/>
      <c r="AE82" s="845"/>
      <c r="AF82" s="845"/>
      <c r="AG82" s="84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Y82" s="80"/>
      <c r="AZ82" s="80"/>
    </row>
    <row r="83" spans="1:54" s="3" customFormat="1" ht="15.6" customHeight="1" x14ac:dyDescent="0.15">
      <c r="A83" s="49"/>
      <c r="B83" s="142"/>
      <c r="C83" s="142"/>
      <c r="D83" s="142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Y83" s="79"/>
      <c r="AZ83" s="79"/>
    </row>
    <row r="84" spans="1:54" s="1" customFormat="1" ht="15.6" customHeight="1" x14ac:dyDescent="0.15">
      <c r="A84" s="49" t="s">
        <v>49</v>
      </c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77" t="s">
        <v>89</v>
      </c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Y84" s="130"/>
      <c r="AZ84" s="130"/>
    </row>
    <row r="85" spans="1:54" s="1" customFormat="1" ht="15.6" customHeight="1" x14ac:dyDescent="0.15">
      <c r="A85" s="49"/>
      <c r="B85" s="730" t="s">
        <v>78</v>
      </c>
      <c r="C85" s="730"/>
      <c r="D85" s="730"/>
      <c r="E85" s="730"/>
      <c r="F85" s="730"/>
      <c r="G85" s="751" t="s">
        <v>127</v>
      </c>
      <c r="H85" s="752"/>
      <c r="I85" s="752"/>
      <c r="J85" s="752"/>
      <c r="K85" s="753"/>
      <c r="L85" s="751" t="s">
        <v>138</v>
      </c>
      <c r="M85" s="752"/>
      <c r="N85" s="752"/>
      <c r="O85" s="752"/>
      <c r="P85" s="753"/>
      <c r="Q85" s="751" t="s">
        <v>132</v>
      </c>
      <c r="R85" s="752"/>
      <c r="S85" s="752"/>
      <c r="T85" s="752"/>
      <c r="U85" s="753"/>
      <c r="V85" s="754" t="s">
        <v>145</v>
      </c>
      <c r="W85" s="730"/>
      <c r="X85" s="730"/>
      <c r="Y85" s="730"/>
      <c r="Z85" s="730"/>
      <c r="AA85" s="754" t="s">
        <v>177</v>
      </c>
      <c r="AB85" s="730"/>
      <c r="AC85" s="730"/>
      <c r="AD85" s="730"/>
      <c r="AE85" s="730"/>
      <c r="AF85" s="16"/>
      <c r="AG85" s="16"/>
      <c r="AH85" s="16"/>
      <c r="AI85" s="13"/>
      <c r="AJ85" s="13"/>
      <c r="AK85" s="13"/>
      <c r="AL85" s="13"/>
      <c r="AM85" s="13"/>
      <c r="AN85" s="13"/>
      <c r="AO85" s="13"/>
      <c r="AP85" s="13"/>
      <c r="AY85" s="130"/>
      <c r="AZ85" s="130"/>
    </row>
    <row r="86" spans="1:54" s="1" customFormat="1" ht="15.6" customHeight="1" x14ac:dyDescent="0.15">
      <c r="A86" s="49"/>
      <c r="B86" s="756" t="s">
        <v>77</v>
      </c>
      <c r="C86" s="756"/>
      <c r="D86" s="756"/>
      <c r="E86" s="756"/>
      <c r="F86" s="756"/>
      <c r="G86" s="757">
        <f>990+98</f>
        <v>1088</v>
      </c>
      <c r="H86" s="758"/>
      <c r="I86" s="758"/>
      <c r="J86" s="758"/>
      <c r="K86" s="759"/>
      <c r="L86" s="757">
        <v>1174</v>
      </c>
      <c r="M86" s="758"/>
      <c r="N86" s="758"/>
      <c r="O86" s="758"/>
      <c r="P86" s="759"/>
      <c r="Q86" s="757">
        <v>1207</v>
      </c>
      <c r="R86" s="758"/>
      <c r="S86" s="758"/>
      <c r="T86" s="758"/>
      <c r="U86" s="759"/>
      <c r="V86" s="763">
        <v>1103</v>
      </c>
      <c r="W86" s="763"/>
      <c r="X86" s="763"/>
      <c r="Y86" s="763"/>
      <c r="Z86" s="763"/>
      <c r="AA86" s="764">
        <v>77</v>
      </c>
      <c r="AB86" s="764"/>
      <c r="AC86" s="764"/>
      <c r="AD86" s="764"/>
      <c r="AE86" s="764"/>
      <c r="AF86" s="16"/>
      <c r="AG86" s="16"/>
      <c r="AH86" s="16"/>
      <c r="AI86" s="755"/>
      <c r="AJ86" s="755"/>
      <c r="AK86" s="755"/>
      <c r="AL86" s="13"/>
      <c r="AM86" s="13"/>
      <c r="AN86" s="13"/>
      <c r="AO86" s="13"/>
      <c r="AP86" s="13"/>
      <c r="AY86" s="130"/>
      <c r="AZ86" s="130"/>
    </row>
    <row r="87" spans="1:54" s="1" customFormat="1" ht="15.6" customHeight="1" x14ac:dyDescent="0.15">
      <c r="A87" s="49"/>
      <c r="B87" s="756" t="s">
        <v>76</v>
      </c>
      <c r="C87" s="756"/>
      <c r="D87" s="756"/>
      <c r="E87" s="756"/>
      <c r="F87" s="756"/>
      <c r="G87" s="757">
        <v>91</v>
      </c>
      <c r="H87" s="758"/>
      <c r="I87" s="758"/>
      <c r="J87" s="758"/>
      <c r="K87" s="759"/>
      <c r="L87" s="757">
        <f>L86/12</f>
        <v>97.833333333333329</v>
      </c>
      <c r="M87" s="758"/>
      <c r="N87" s="758"/>
      <c r="O87" s="758"/>
      <c r="P87" s="759"/>
      <c r="Q87" s="757">
        <f>Q86/12</f>
        <v>100.58333333333333</v>
      </c>
      <c r="R87" s="758"/>
      <c r="S87" s="758"/>
      <c r="T87" s="758"/>
      <c r="U87" s="759"/>
      <c r="V87" s="757">
        <f>V86/12</f>
        <v>91.916666666666671</v>
      </c>
      <c r="W87" s="758"/>
      <c r="X87" s="758"/>
      <c r="Y87" s="758"/>
      <c r="Z87" s="759"/>
      <c r="AA87" s="760">
        <v>77</v>
      </c>
      <c r="AB87" s="761"/>
      <c r="AC87" s="761"/>
      <c r="AD87" s="761"/>
      <c r="AE87" s="762"/>
      <c r="AF87" s="16"/>
      <c r="AG87" s="16"/>
      <c r="AH87" s="16"/>
      <c r="AI87" s="889"/>
      <c r="AJ87" s="13"/>
      <c r="AK87" s="13"/>
      <c r="AL87" s="13"/>
      <c r="AM87" s="13"/>
      <c r="AN87" s="13"/>
      <c r="AO87" s="13"/>
      <c r="AP87" s="13"/>
      <c r="AY87" s="130"/>
      <c r="AZ87" s="130"/>
    </row>
    <row r="88" spans="1:54" s="1" customFormat="1" ht="15.6" customHeight="1" x14ac:dyDescent="0.15">
      <c r="A88" s="49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3"/>
      <c r="AJ88" s="13"/>
      <c r="AK88" s="13"/>
      <c r="AL88" s="13"/>
      <c r="AM88" s="13"/>
      <c r="AN88" s="13"/>
      <c r="AO88" s="13"/>
      <c r="AP88" s="13"/>
      <c r="AY88" s="130"/>
      <c r="AZ88" s="130"/>
    </row>
    <row r="89" spans="1:54" s="1" customFormat="1" ht="15.6" customHeight="1" x14ac:dyDescent="0.15">
      <c r="A89" s="50" t="s">
        <v>63</v>
      </c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AA89" s="76" t="s">
        <v>89</v>
      </c>
      <c r="AB89" s="75"/>
      <c r="AC89" s="75"/>
      <c r="AD89" s="75"/>
      <c r="AE89" s="75"/>
      <c r="AF89" s="16"/>
      <c r="AG89" s="16"/>
      <c r="AH89" s="16"/>
      <c r="AI89" s="13"/>
      <c r="AJ89" s="13"/>
      <c r="AK89" s="13"/>
      <c r="AL89" s="13"/>
      <c r="AM89" s="13"/>
      <c r="AN89" s="13"/>
      <c r="AO89" s="13"/>
      <c r="AP89" s="13"/>
      <c r="AY89" s="130"/>
      <c r="AZ89" s="130"/>
    </row>
    <row r="90" spans="1:54" s="1" customFormat="1" ht="15.6" customHeight="1" x14ac:dyDescent="0.15">
      <c r="A90" s="49"/>
      <c r="B90" s="765" t="s">
        <v>70</v>
      </c>
      <c r="C90" s="766"/>
      <c r="D90" s="767"/>
      <c r="E90" s="765" t="s">
        <v>50</v>
      </c>
      <c r="F90" s="766"/>
      <c r="G90" s="766"/>
      <c r="H90" s="766"/>
      <c r="I90" s="767"/>
      <c r="J90" s="751" t="s">
        <v>133</v>
      </c>
      <c r="K90" s="752"/>
      <c r="L90" s="752"/>
      <c r="M90" s="752"/>
      <c r="N90" s="752"/>
      <c r="O90" s="752"/>
      <c r="P90" s="752"/>
      <c r="Q90" s="753"/>
      <c r="R90" s="751" t="s">
        <v>146</v>
      </c>
      <c r="S90" s="752"/>
      <c r="T90" s="752"/>
      <c r="U90" s="752"/>
      <c r="V90" s="752"/>
      <c r="W90" s="752"/>
      <c r="X90" s="752"/>
      <c r="Y90" s="753"/>
      <c r="Z90" s="751" t="s">
        <v>178</v>
      </c>
      <c r="AA90" s="752"/>
      <c r="AB90" s="752"/>
      <c r="AC90" s="752"/>
      <c r="AD90" s="752"/>
      <c r="AE90" s="752"/>
      <c r="AF90" s="752"/>
      <c r="AG90" s="753"/>
      <c r="AH90" s="16"/>
      <c r="AI90" s="13"/>
      <c r="AJ90" s="13"/>
      <c r="AK90" s="13"/>
      <c r="AL90" s="13"/>
      <c r="AM90" s="13"/>
      <c r="AN90" s="13"/>
      <c r="AO90" s="13"/>
      <c r="AP90" s="13"/>
      <c r="AY90" s="130"/>
      <c r="AZ90" s="130"/>
    </row>
    <row r="91" spans="1:54" s="1" customFormat="1" ht="15.6" customHeight="1" x14ac:dyDescent="0.15">
      <c r="A91" s="49"/>
      <c r="B91" s="785"/>
      <c r="C91" s="786"/>
      <c r="D91" s="787"/>
      <c r="E91" s="785"/>
      <c r="F91" s="786"/>
      <c r="G91" s="786"/>
      <c r="H91" s="786"/>
      <c r="I91" s="787"/>
      <c r="J91" s="788" t="s">
        <v>51</v>
      </c>
      <c r="K91" s="788"/>
      <c r="L91" s="788"/>
      <c r="M91" s="788"/>
      <c r="N91" s="765" t="s">
        <v>30</v>
      </c>
      <c r="O91" s="766"/>
      <c r="P91" s="766"/>
      <c r="Q91" s="767"/>
      <c r="R91" s="788" t="s">
        <v>51</v>
      </c>
      <c r="S91" s="788"/>
      <c r="T91" s="788"/>
      <c r="U91" s="788"/>
      <c r="V91" s="765" t="s">
        <v>30</v>
      </c>
      <c r="W91" s="766"/>
      <c r="X91" s="766"/>
      <c r="Y91" s="767"/>
      <c r="Z91" s="788" t="s">
        <v>51</v>
      </c>
      <c r="AA91" s="788"/>
      <c r="AB91" s="788"/>
      <c r="AC91" s="788"/>
      <c r="AD91" s="765" t="s">
        <v>30</v>
      </c>
      <c r="AE91" s="766"/>
      <c r="AF91" s="766"/>
      <c r="AG91" s="767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Y91" s="130"/>
      <c r="AZ91" s="130"/>
    </row>
    <row r="92" spans="1:54" s="1" customFormat="1" ht="15.6" customHeight="1" x14ac:dyDescent="0.15">
      <c r="A92" s="52"/>
      <c r="B92" s="768" t="s">
        <v>74</v>
      </c>
      <c r="C92" s="769"/>
      <c r="D92" s="770"/>
      <c r="E92" s="777" t="s">
        <v>52</v>
      </c>
      <c r="F92" s="777"/>
      <c r="G92" s="777"/>
      <c r="H92" s="777"/>
      <c r="I92" s="777"/>
      <c r="J92" s="778">
        <v>193</v>
      </c>
      <c r="K92" s="778"/>
      <c r="L92" s="778"/>
      <c r="M92" s="778"/>
      <c r="N92" s="779">
        <f>J92/SUM(J92:M96)</f>
        <v>0.15990057995028997</v>
      </c>
      <c r="O92" s="779"/>
      <c r="P92" s="779"/>
      <c r="Q92" s="779"/>
      <c r="R92" s="780">
        <v>206</v>
      </c>
      <c r="S92" s="778"/>
      <c r="T92" s="778"/>
      <c r="U92" s="778"/>
      <c r="V92" s="779">
        <f>R92/V86</f>
        <v>0.18676337262012693</v>
      </c>
      <c r="W92" s="779"/>
      <c r="X92" s="779"/>
      <c r="Y92" s="779"/>
      <c r="Z92" s="781">
        <v>13</v>
      </c>
      <c r="AA92" s="782"/>
      <c r="AB92" s="782"/>
      <c r="AC92" s="782"/>
      <c r="AD92" s="814">
        <f>Z92/AA86</f>
        <v>0.16883116883116883</v>
      </c>
      <c r="AE92" s="814"/>
      <c r="AF92" s="814"/>
      <c r="AG92" s="814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Y92" s="789"/>
      <c r="AZ92" s="789"/>
    </row>
    <row r="93" spans="1:54" s="1" customFormat="1" ht="15.6" customHeight="1" x14ac:dyDescent="0.15">
      <c r="A93" s="52"/>
      <c r="B93" s="771"/>
      <c r="C93" s="772"/>
      <c r="D93" s="773"/>
      <c r="E93" s="784" t="s">
        <v>53</v>
      </c>
      <c r="F93" s="784"/>
      <c r="G93" s="784"/>
      <c r="H93" s="784"/>
      <c r="I93" s="784"/>
      <c r="J93" s="790">
        <v>600</v>
      </c>
      <c r="K93" s="790"/>
      <c r="L93" s="790"/>
      <c r="M93" s="790"/>
      <c r="N93" s="791">
        <f>J93/SUM(J92:M96)</f>
        <v>0.4971002485501243</v>
      </c>
      <c r="O93" s="791"/>
      <c r="P93" s="791"/>
      <c r="Q93" s="791"/>
      <c r="R93" s="792">
        <v>391</v>
      </c>
      <c r="S93" s="790"/>
      <c r="T93" s="790"/>
      <c r="U93" s="790"/>
      <c r="V93" s="793">
        <f>R93/V86</f>
        <v>0.35448776065276516</v>
      </c>
      <c r="W93" s="794"/>
      <c r="X93" s="794"/>
      <c r="Y93" s="795"/>
      <c r="Z93" s="796">
        <v>42</v>
      </c>
      <c r="AA93" s="797"/>
      <c r="AB93" s="797"/>
      <c r="AC93" s="797"/>
      <c r="AD93" s="783">
        <f>Z93/AA86</f>
        <v>0.54545454545454541</v>
      </c>
      <c r="AE93" s="783"/>
      <c r="AF93" s="783"/>
      <c r="AG93" s="783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Y93" s="789"/>
      <c r="AZ93" s="789"/>
    </row>
    <row r="94" spans="1:54" s="1" customFormat="1" ht="15.6" customHeight="1" x14ac:dyDescent="0.15">
      <c r="A94" s="52"/>
      <c r="B94" s="771"/>
      <c r="C94" s="772"/>
      <c r="D94" s="773"/>
      <c r="E94" s="784" t="s">
        <v>54</v>
      </c>
      <c r="F94" s="784"/>
      <c r="G94" s="784"/>
      <c r="H94" s="784"/>
      <c r="I94" s="784"/>
      <c r="J94" s="790">
        <v>20</v>
      </c>
      <c r="K94" s="790"/>
      <c r="L94" s="790"/>
      <c r="M94" s="790"/>
      <c r="N94" s="791">
        <f>J94/SUM(J92:M96)</f>
        <v>1.6570008285004142E-2</v>
      </c>
      <c r="O94" s="791"/>
      <c r="P94" s="791"/>
      <c r="Q94" s="791"/>
      <c r="R94" s="792">
        <v>15</v>
      </c>
      <c r="S94" s="790"/>
      <c r="T94" s="790"/>
      <c r="U94" s="790"/>
      <c r="V94" s="793">
        <f>R94/V86</f>
        <v>1.3599274705349048E-2</v>
      </c>
      <c r="W94" s="794"/>
      <c r="X94" s="794"/>
      <c r="Y94" s="795"/>
      <c r="Z94" s="796">
        <v>2</v>
      </c>
      <c r="AA94" s="797"/>
      <c r="AB94" s="797"/>
      <c r="AC94" s="797"/>
      <c r="AD94" s="783">
        <f>Z94/AA86</f>
        <v>2.5974025974025976E-2</v>
      </c>
      <c r="AE94" s="783"/>
      <c r="AF94" s="783"/>
      <c r="AG94" s="783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Y94" s="789"/>
      <c r="AZ94" s="789"/>
    </row>
    <row r="95" spans="1:54" s="1" customFormat="1" ht="15.6" customHeight="1" x14ac:dyDescent="0.15">
      <c r="A95" s="52"/>
      <c r="B95" s="771"/>
      <c r="C95" s="772"/>
      <c r="D95" s="773"/>
      <c r="E95" s="798" t="s">
        <v>55</v>
      </c>
      <c r="F95" s="798"/>
      <c r="G95" s="798"/>
      <c r="H95" s="798"/>
      <c r="I95" s="798"/>
      <c r="J95" s="790">
        <v>0</v>
      </c>
      <c r="K95" s="790"/>
      <c r="L95" s="790"/>
      <c r="M95" s="790"/>
      <c r="N95" s="791">
        <f>J95/SUM(J92:M96)</f>
        <v>0</v>
      </c>
      <c r="O95" s="791"/>
      <c r="P95" s="791"/>
      <c r="Q95" s="791"/>
      <c r="R95" s="792">
        <v>0</v>
      </c>
      <c r="S95" s="790"/>
      <c r="T95" s="790"/>
      <c r="U95" s="790"/>
      <c r="V95" s="793">
        <v>0</v>
      </c>
      <c r="W95" s="794"/>
      <c r="X95" s="794"/>
      <c r="Y95" s="795"/>
      <c r="Z95" s="796">
        <v>0</v>
      </c>
      <c r="AA95" s="797"/>
      <c r="AB95" s="797"/>
      <c r="AC95" s="797"/>
      <c r="AD95" s="783">
        <v>0</v>
      </c>
      <c r="AE95" s="783"/>
      <c r="AF95" s="783"/>
      <c r="AG95" s="783"/>
      <c r="AH95" s="13"/>
      <c r="AI95" s="16"/>
      <c r="AJ95" s="16"/>
      <c r="AK95" s="799"/>
      <c r="AL95" s="799"/>
      <c r="AM95" s="799"/>
      <c r="AN95" s="13"/>
      <c r="AO95" s="13"/>
      <c r="AP95" s="72"/>
      <c r="AQ95" s="72"/>
      <c r="AR95" s="72"/>
      <c r="AS95" s="72"/>
      <c r="AT95" s="72"/>
      <c r="AU95" s="72"/>
      <c r="AV95" s="73"/>
      <c r="AW95" s="73"/>
      <c r="AX95" s="73"/>
      <c r="AY95" s="789"/>
      <c r="AZ95" s="789"/>
      <c r="BA95" s="73"/>
    </row>
    <row r="96" spans="1:54" s="1" customFormat="1" ht="15.6" customHeight="1" x14ac:dyDescent="0.15">
      <c r="A96" s="52"/>
      <c r="B96" s="774"/>
      <c r="C96" s="775"/>
      <c r="D96" s="776"/>
      <c r="E96" s="805" t="s">
        <v>56</v>
      </c>
      <c r="F96" s="805"/>
      <c r="G96" s="805"/>
      <c r="H96" s="805"/>
      <c r="I96" s="805"/>
      <c r="J96" s="806">
        <v>394</v>
      </c>
      <c r="K96" s="806"/>
      <c r="L96" s="806"/>
      <c r="M96" s="806"/>
      <c r="N96" s="807">
        <v>0.32600000000000001</v>
      </c>
      <c r="O96" s="807"/>
      <c r="P96" s="807"/>
      <c r="Q96" s="807"/>
      <c r="R96" s="808">
        <v>491</v>
      </c>
      <c r="S96" s="806"/>
      <c r="T96" s="806"/>
      <c r="U96" s="806"/>
      <c r="V96" s="809">
        <f>R96/V86</f>
        <v>0.44514959202175886</v>
      </c>
      <c r="W96" s="810"/>
      <c r="X96" s="810"/>
      <c r="Y96" s="811"/>
      <c r="Z96" s="812">
        <v>20</v>
      </c>
      <c r="AA96" s="813"/>
      <c r="AB96" s="813"/>
      <c r="AC96" s="813"/>
      <c r="AD96" s="783">
        <f>Z96/AA86</f>
        <v>0.25974025974025972</v>
      </c>
      <c r="AE96" s="783"/>
      <c r="AF96" s="783"/>
      <c r="AG96" s="783"/>
      <c r="AH96" s="13"/>
      <c r="AI96" s="13"/>
      <c r="AJ96" s="800"/>
      <c r="AK96" s="800"/>
      <c r="AL96" s="800"/>
      <c r="AM96" s="13"/>
      <c r="AN96" s="13"/>
      <c r="AO96" s="13"/>
      <c r="AP96" s="13"/>
      <c r="AQ96" s="13"/>
      <c r="AY96" s="789"/>
      <c r="AZ96" s="789"/>
      <c r="BA96" s="801"/>
      <c r="BB96" s="801"/>
    </row>
    <row r="97" spans="1:54" s="1" customFormat="1" ht="15.6" customHeight="1" x14ac:dyDescent="0.15">
      <c r="A97" s="52"/>
      <c r="B97" s="768" t="s">
        <v>75</v>
      </c>
      <c r="C97" s="769"/>
      <c r="D97" s="770"/>
      <c r="E97" s="777" t="s">
        <v>57</v>
      </c>
      <c r="F97" s="777"/>
      <c r="G97" s="777"/>
      <c r="H97" s="777"/>
      <c r="I97" s="777"/>
      <c r="J97" s="778">
        <v>113</v>
      </c>
      <c r="K97" s="778"/>
      <c r="L97" s="778"/>
      <c r="M97" s="778"/>
      <c r="N97" s="779">
        <f>J97/SUM(J97:M100)</f>
        <v>9.3620546810273403E-2</v>
      </c>
      <c r="O97" s="779"/>
      <c r="P97" s="779"/>
      <c r="Q97" s="779"/>
      <c r="R97" s="778">
        <v>86</v>
      </c>
      <c r="S97" s="778"/>
      <c r="T97" s="778"/>
      <c r="U97" s="778"/>
      <c r="V97" s="802">
        <f>R97/SUM(R97:U100)</f>
        <v>7.7969174977334549E-2</v>
      </c>
      <c r="W97" s="803"/>
      <c r="X97" s="803"/>
      <c r="Y97" s="804"/>
      <c r="Z97" s="782">
        <v>3</v>
      </c>
      <c r="AA97" s="782"/>
      <c r="AB97" s="782"/>
      <c r="AC97" s="782"/>
      <c r="AD97" s="814">
        <f>Z97/AA86</f>
        <v>3.896103896103896E-2</v>
      </c>
      <c r="AE97" s="814"/>
      <c r="AF97" s="814"/>
      <c r="AG97" s="814"/>
      <c r="AH97" s="13"/>
      <c r="AI97" s="13"/>
      <c r="AJ97" s="13"/>
      <c r="AK97" s="799"/>
      <c r="AL97" s="799"/>
      <c r="AM97" s="799"/>
      <c r="AN97" s="13"/>
      <c r="AO97" s="13"/>
      <c r="AP97" s="13"/>
      <c r="AQ97" s="13"/>
      <c r="AY97" s="789"/>
      <c r="AZ97" s="789"/>
    </row>
    <row r="98" spans="1:54" s="1" customFormat="1" ht="15.6" customHeight="1" x14ac:dyDescent="0.15">
      <c r="A98" s="52"/>
      <c r="B98" s="771"/>
      <c r="C98" s="772"/>
      <c r="D98" s="773"/>
      <c r="E98" s="784" t="s">
        <v>58</v>
      </c>
      <c r="F98" s="784"/>
      <c r="G98" s="784"/>
      <c r="H98" s="784"/>
      <c r="I98" s="784"/>
      <c r="J98" s="790">
        <v>62</v>
      </c>
      <c r="K98" s="790"/>
      <c r="L98" s="790"/>
      <c r="M98" s="790"/>
      <c r="N98" s="791">
        <f>J98/SUM(J97:M100)</f>
        <v>5.136702568351284E-2</v>
      </c>
      <c r="O98" s="791"/>
      <c r="P98" s="791"/>
      <c r="Q98" s="791"/>
      <c r="R98" s="790">
        <v>57</v>
      </c>
      <c r="S98" s="790"/>
      <c r="T98" s="790"/>
      <c r="U98" s="790"/>
      <c r="V98" s="793">
        <f>R98/SUM(R97:U100)</f>
        <v>5.1677243880326386E-2</v>
      </c>
      <c r="W98" s="794"/>
      <c r="X98" s="794"/>
      <c r="Y98" s="795"/>
      <c r="Z98" s="797">
        <v>2</v>
      </c>
      <c r="AA98" s="797"/>
      <c r="AB98" s="797"/>
      <c r="AC98" s="797"/>
      <c r="AD98" s="783">
        <f>Z98/AA86</f>
        <v>2.5974025974025976E-2</v>
      </c>
      <c r="AE98" s="783"/>
      <c r="AF98" s="783"/>
      <c r="AG98" s="78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Y98" s="789"/>
      <c r="AZ98" s="789"/>
    </row>
    <row r="99" spans="1:54" s="3" customFormat="1" ht="15.6" customHeight="1" x14ac:dyDescent="0.15">
      <c r="A99" s="52"/>
      <c r="B99" s="771"/>
      <c r="C99" s="772"/>
      <c r="D99" s="773"/>
      <c r="E99" s="784" t="s">
        <v>59</v>
      </c>
      <c r="F99" s="784"/>
      <c r="G99" s="784"/>
      <c r="H99" s="784"/>
      <c r="I99" s="784"/>
      <c r="J99" s="790">
        <v>341</v>
      </c>
      <c r="K99" s="790"/>
      <c r="L99" s="790"/>
      <c r="M99" s="790"/>
      <c r="N99" s="791">
        <f>J99/SUM(J97:M100)</f>
        <v>0.28251864125932064</v>
      </c>
      <c r="O99" s="791"/>
      <c r="P99" s="791"/>
      <c r="Q99" s="791"/>
      <c r="R99" s="790">
        <v>361</v>
      </c>
      <c r="S99" s="790"/>
      <c r="T99" s="790"/>
      <c r="U99" s="790"/>
      <c r="V99" s="793">
        <f>R99/SUM(R97:U100)</f>
        <v>0.32728921124206711</v>
      </c>
      <c r="W99" s="794"/>
      <c r="X99" s="794"/>
      <c r="Y99" s="795"/>
      <c r="Z99" s="797">
        <v>21</v>
      </c>
      <c r="AA99" s="797"/>
      <c r="AB99" s="797"/>
      <c r="AC99" s="797"/>
      <c r="AD99" s="783">
        <f>Z99/AA86</f>
        <v>0.27272727272727271</v>
      </c>
      <c r="AE99" s="783"/>
      <c r="AF99" s="783"/>
      <c r="AG99" s="78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Y99" s="789"/>
      <c r="AZ99" s="789"/>
    </row>
    <row r="100" spans="1:54" s="3" customFormat="1" ht="15.6" customHeight="1" x14ac:dyDescent="0.15">
      <c r="A100" s="52"/>
      <c r="B100" s="774"/>
      <c r="C100" s="775"/>
      <c r="D100" s="776"/>
      <c r="E100" s="805" t="s">
        <v>56</v>
      </c>
      <c r="F100" s="805"/>
      <c r="G100" s="805"/>
      <c r="H100" s="805"/>
      <c r="I100" s="805"/>
      <c r="J100" s="806">
        <v>691</v>
      </c>
      <c r="K100" s="806"/>
      <c r="L100" s="806"/>
      <c r="M100" s="806"/>
      <c r="N100" s="807">
        <f>J100/SUM(J97:M100)</f>
        <v>0.57249378624689318</v>
      </c>
      <c r="O100" s="807"/>
      <c r="P100" s="807"/>
      <c r="Q100" s="807"/>
      <c r="R100" s="806">
        <v>599</v>
      </c>
      <c r="S100" s="806"/>
      <c r="T100" s="806"/>
      <c r="U100" s="806"/>
      <c r="V100" s="809">
        <f>R100/SUM(R97:U100)</f>
        <v>0.54306436990027196</v>
      </c>
      <c r="W100" s="810"/>
      <c r="X100" s="810"/>
      <c r="Y100" s="811"/>
      <c r="Z100" s="813">
        <v>51</v>
      </c>
      <c r="AA100" s="813"/>
      <c r="AB100" s="813"/>
      <c r="AC100" s="813"/>
      <c r="AD100" s="817">
        <f>Z100/AA86</f>
        <v>0.66233766233766234</v>
      </c>
      <c r="AE100" s="817"/>
      <c r="AF100" s="817"/>
      <c r="AG100" s="817"/>
      <c r="AH100" s="13"/>
      <c r="AI100" s="13"/>
      <c r="AJ100" s="800"/>
      <c r="AK100" s="800"/>
      <c r="AL100" s="800"/>
      <c r="AM100" s="83"/>
      <c r="AN100" s="13"/>
      <c r="AO100" s="13"/>
      <c r="AP100" s="13"/>
      <c r="AQ100" s="13"/>
      <c r="AY100" s="789"/>
      <c r="AZ100" s="789"/>
      <c r="BA100" s="789"/>
      <c r="BB100" s="789"/>
    </row>
    <row r="101" spans="1:54" s="3" customFormat="1" ht="15.6" customHeight="1" x14ac:dyDescent="0.15">
      <c r="A101" s="55"/>
      <c r="Y101" s="2"/>
      <c r="Z101" s="2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Y101" s="79"/>
      <c r="AZ101" s="79"/>
    </row>
    <row r="102" spans="1:54" s="3" customFormat="1" ht="15.6" customHeight="1" x14ac:dyDescent="0.15">
      <c r="A102" s="55" t="s">
        <v>1</v>
      </c>
      <c r="AG102" s="4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Y102" s="79"/>
      <c r="AZ102" s="79"/>
    </row>
    <row r="103" spans="1:54" s="3" customFormat="1" ht="15.6" customHeight="1" x14ac:dyDescent="0.15">
      <c r="A103" s="50" t="s">
        <v>176</v>
      </c>
      <c r="AG103" s="4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Y103" s="79"/>
      <c r="AZ103" s="79"/>
    </row>
    <row r="104" spans="1:54" s="3" customFormat="1" ht="15.6" customHeight="1" x14ac:dyDescent="0.15">
      <c r="A104" s="55"/>
      <c r="B104" s="595" t="s">
        <v>14</v>
      </c>
      <c r="C104" s="595"/>
      <c r="D104" s="595" t="s">
        <v>15</v>
      </c>
      <c r="E104" s="595"/>
      <c r="F104" s="595"/>
      <c r="G104" s="595"/>
      <c r="H104" s="595"/>
      <c r="I104" s="595" t="s">
        <v>16</v>
      </c>
      <c r="J104" s="595"/>
      <c r="K104" s="595"/>
      <c r="L104" s="595"/>
      <c r="M104" s="595"/>
      <c r="N104" s="595" t="s">
        <v>17</v>
      </c>
      <c r="O104" s="595"/>
      <c r="P104" s="595"/>
      <c r="Q104" s="595"/>
      <c r="R104" s="595"/>
      <c r="S104" s="595" t="s">
        <v>18</v>
      </c>
      <c r="T104" s="595"/>
      <c r="U104" s="595"/>
      <c r="V104" s="595"/>
      <c r="W104" s="595"/>
      <c r="X104" s="595" t="s">
        <v>19</v>
      </c>
      <c r="Y104" s="595"/>
      <c r="Z104" s="595"/>
      <c r="AA104" s="595"/>
      <c r="AB104" s="595"/>
      <c r="AC104" s="595" t="s">
        <v>20</v>
      </c>
      <c r="AD104" s="595"/>
      <c r="AE104" s="595"/>
      <c r="AF104" s="595"/>
      <c r="AG104" s="7"/>
      <c r="AH104" s="14"/>
      <c r="AI104" s="14"/>
      <c r="AJ104" s="14"/>
      <c r="AK104" s="14"/>
      <c r="AL104" s="14"/>
      <c r="AM104" s="14"/>
      <c r="AN104" s="14"/>
      <c r="AO104" s="14"/>
      <c r="AP104" s="14"/>
      <c r="AY104" s="79"/>
      <c r="AZ104" s="79"/>
    </row>
    <row r="105" spans="1:54" ht="15.6" customHeight="1" x14ac:dyDescent="0.15">
      <c r="A105" s="52"/>
      <c r="B105" s="815" t="s">
        <v>9</v>
      </c>
      <c r="C105" s="815"/>
      <c r="D105" s="816">
        <v>46</v>
      </c>
      <c r="E105" s="816"/>
      <c r="F105" s="816"/>
      <c r="G105" s="816"/>
      <c r="H105" s="816"/>
      <c r="I105" s="816">
        <v>2</v>
      </c>
      <c r="J105" s="816"/>
      <c r="K105" s="816"/>
      <c r="L105" s="816"/>
      <c r="M105" s="816"/>
      <c r="N105" s="816">
        <v>0</v>
      </c>
      <c r="O105" s="816"/>
      <c r="P105" s="816"/>
      <c r="Q105" s="816"/>
      <c r="R105" s="816"/>
      <c r="S105" s="816">
        <v>43</v>
      </c>
      <c r="T105" s="816"/>
      <c r="U105" s="816"/>
      <c r="V105" s="816"/>
      <c r="W105" s="816"/>
      <c r="X105" s="816">
        <v>19</v>
      </c>
      <c r="Y105" s="816"/>
      <c r="Z105" s="816"/>
      <c r="AA105" s="816"/>
      <c r="AB105" s="816"/>
      <c r="AC105" s="816">
        <f>S105-X105</f>
        <v>24</v>
      </c>
      <c r="AD105" s="816"/>
      <c r="AE105" s="816"/>
      <c r="AF105" s="816"/>
    </row>
    <row r="106" spans="1:54" ht="15.6" customHeight="1" x14ac:dyDescent="0.15">
      <c r="A106" s="55" t="s">
        <v>179</v>
      </c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</row>
    <row r="107" spans="1:54" ht="15.6" customHeight="1" x14ac:dyDescent="0.15">
      <c r="A107" s="55"/>
      <c r="B107" s="595" t="s">
        <v>14</v>
      </c>
      <c r="C107" s="595"/>
      <c r="D107" s="595" t="s">
        <v>15</v>
      </c>
      <c r="E107" s="595"/>
      <c r="F107" s="595"/>
      <c r="G107" s="595"/>
      <c r="H107" s="595"/>
      <c r="I107" s="595" t="s">
        <v>16</v>
      </c>
      <c r="J107" s="595"/>
      <c r="K107" s="595"/>
      <c r="L107" s="595"/>
      <c r="M107" s="595"/>
      <c r="N107" s="595" t="s">
        <v>17</v>
      </c>
      <c r="O107" s="595"/>
      <c r="P107" s="595"/>
      <c r="Q107" s="595"/>
      <c r="R107" s="595"/>
      <c r="S107" s="595" t="s">
        <v>18</v>
      </c>
      <c r="T107" s="595"/>
      <c r="U107" s="595"/>
      <c r="V107" s="595"/>
      <c r="W107" s="595"/>
      <c r="X107" s="595" t="s">
        <v>19</v>
      </c>
      <c r="Y107" s="595"/>
      <c r="Z107" s="595"/>
      <c r="AA107" s="595"/>
      <c r="AB107" s="595"/>
      <c r="AC107" s="595" t="s">
        <v>20</v>
      </c>
      <c r="AD107" s="595"/>
      <c r="AE107" s="595"/>
      <c r="AF107" s="595"/>
    </row>
    <row r="108" spans="1:54" s="7" customFormat="1" ht="15.6" customHeight="1" x14ac:dyDescent="0.15">
      <c r="A108" s="13"/>
      <c r="B108" s="827" t="s">
        <v>9</v>
      </c>
      <c r="C108" s="827"/>
      <c r="D108" s="746">
        <v>1</v>
      </c>
      <c r="E108" s="746"/>
      <c r="F108" s="746"/>
      <c r="G108" s="746"/>
      <c r="H108" s="746"/>
      <c r="I108" s="746">
        <v>0</v>
      </c>
      <c r="J108" s="746"/>
      <c r="K108" s="746"/>
      <c r="L108" s="746"/>
      <c r="M108" s="746"/>
      <c r="N108" s="746">
        <v>0</v>
      </c>
      <c r="O108" s="746"/>
      <c r="P108" s="746"/>
      <c r="Q108" s="746"/>
      <c r="R108" s="746"/>
      <c r="S108" s="746">
        <v>0</v>
      </c>
      <c r="T108" s="746"/>
      <c r="U108" s="746"/>
      <c r="V108" s="746"/>
      <c r="W108" s="746"/>
      <c r="X108" s="746">
        <v>0</v>
      </c>
      <c r="Y108" s="746"/>
      <c r="Z108" s="746"/>
      <c r="AA108" s="746"/>
      <c r="AB108" s="746"/>
      <c r="AC108" s="746">
        <f>S108-X108</f>
        <v>0</v>
      </c>
      <c r="AD108" s="746"/>
      <c r="AE108" s="746"/>
      <c r="AF108" s="746"/>
      <c r="AY108" s="80"/>
      <c r="AZ108" s="80"/>
    </row>
    <row r="110" spans="1:54" ht="15.6" customHeight="1" x14ac:dyDescent="0.15">
      <c r="I110" s="820"/>
      <c r="J110" s="819"/>
      <c r="K110" s="819"/>
      <c r="L110" s="819"/>
      <c r="S110" s="820"/>
      <c r="T110" s="819"/>
      <c r="U110" s="819"/>
      <c r="V110" s="819"/>
      <c r="Z110" s="820"/>
      <c r="AA110" s="819"/>
      <c r="AB110" s="819"/>
      <c r="AC110" s="819"/>
    </row>
    <row r="111" spans="1:54" ht="15.6" customHeight="1" x14ac:dyDescent="0.15">
      <c r="D111" s="19"/>
      <c r="I111" s="819"/>
      <c r="J111" s="819"/>
      <c r="K111" s="819"/>
      <c r="L111" s="819"/>
      <c r="M111" s="819"/>
      <c r="N111" s="821"/>
      <c r="O111" s="821"/>
      <c r="P111" s="821"/>
      <c r="Q111" s="821"/>
      <c r="R111" s="819"/>
      <c r="S111" s="819"/>
      <c r="T111" s="819"/>
      <c r="U111" s="819"/>
      <c r="Z111" s="819"/>
      <c r="AA111" s="819"/>
      <c r="AB111" s="819"/>
      <c r="AC111" s="819"/>
    </row>
    <row r="112" spans="1:54" ht="15.6" customHeight="1" x14ac:dyDescent="0.15">
      <c r="I112" s="819"/>
      <c r="J112" s="819"/>
      <c r="K112" s="819"/>
      <c r="L112" s="819"/>
      <c r="M112" s="819"/>
      <c r="N112" s="819"/>
      <c r="O112" s="819"/>
      <c r="P112" s="819"/>
      <c r="Q112" s="819"/>
      <c r="R112" s="819"/>
      <c r="S112" s="819"/>
      <c r="T112" s="819"/>
      <c r="U112" s="819"/>
      <c r="Z112" s="819"/>
      <c r="AA112" s="819"/>
      <c r="AB112" s="819"/>
      <c r="AC112" s="819"/>
    </row>
    <row r="113" spans="4:29" ht="15.6" customHeight="1" x14ac:dyDescent="0.15">
      <c r="D113" s="19"/>
      <c r="I113" s="819"/>
      <c r="J113" s="819"/>
      <c r="K113" s="819"/>
      <c r="L113" s="819"/>
      <c r="M113" s="819"/>
      <c r="N113" s="819"/>
      <c r="O113" s="819"/>
      <c r="P113" s="819"/>
      <c r="Q113" s="819"/>
      <c r="R113" s="819"/>
      <c r="S113" s="819"/>
      <c r="T113" s="819"/>
      <c r="U113" s="819"/>
      <c r="Z113" s="819"/>
      <c r="AA113" s="819"/>
      <c r="AB113" s="819"/>
      <c r="AC113" s="819"/>
    </row>
  </sheetData>
  <mergeCells count="482">
    <mergeCell ref="AC18:AG18"/>
    <mergeCell ref="I112:M112"/>
    <mergeCell ref="N112:Q112"/>
    <mergeCell ref="R112:U112"/>
    <mergeCell ref="Z112:AC112"/>
    <mergeCell ref="AC107:AF107"/>
    <mergeCell ref="B108:C108"/>
    <mergeCell ref="D108:H108"/>
    <mergeCell ref="I108:M108"/>
    <mergeCell ref="N108:R108"/>
    <mergeCell ref="S108:W108"/>
    <mergeCell ref="X108:AB108"/>
    <mergeCell ref="AC108:AF108"/>
    <mergeCell ref="B107:C107"/>
    <mergeCell ref="D107:H107"/>
    <mergeCell ref="I107:M107"/>
    <mergeCell ref="N107:R107"/>
    <mergeCell ref="S107:W107"/>
    <mergeCell ref="X107:AB107"/>
    <mergeCell ref="AC104:AF104"/>
    <mergeCell ref="B105:C105"/>
    <mergeCell ref="D105:H105"/>
    <mergeCell ref="I105:M105"/>
    <mergeCell ref="N105:R105"/>
    <mergeCell ref="I113:M113"/>
    <mergeCell ref="N113:Q113"/>
    <mergeCell ref="R113:U113"/>
    <mergeCell ref="Z113:AC113"/>
    <mergeCell ref="I110:L110"/>
    <mergeCell ref="S110:V110"/>
    <mergeCell ref="Z110:AC110"/>
    <mergeCell ref="I111:M111"/>
    <mergeCell ref="N111:Q111"/>
    <mergeCell ref="R111:U111"/>
    <mergeCell ref="Z111:AC111"/>
    <mergeCell ref="S105:W105"/>
    <mergeCell ref="X105:AB105"/>
    <mergeCell ref="AC105:AF105"/>
    <mergeCell ref="AD100:AG100"/>
    <mergeCell ref="AJ100:AL100"/>
    <mergeCell ref="AY100:AZ100"/>
    <mergeCell ref="BA100:BB100"/>
    <mergeCell ref="B104:C104"/>
    <mergeCell ref="D104:H104"/>
    <mergeCell ref="I104:M104"/>
    <mergeCell ref="N104:R104"/>
    <mergeCell ref="S104:W104"/>
    <mergeCell ref="X104:AB104"/>
    <mergeCell ref="E100:I100"/>
    <mergeCell ref="J100:M100"/>
    <mergeCell ref="N100:Q100"/>
    <mergeCell ref="R100:U100"/>
    <mergeCell ref="V100:Y100"/>
    <mergeCell ref="Z100:AC100"/>
    <mergeCell ref="Z98:AC98"/>
    <mergeCell ref="AD98:AG98"/>
    <mergeCell ref="AY98:AZ98"/>
    <mergeCell ref="E99:I99"/>
    <mergeCell ref="J99:M99"/>
    <mergeCell ref="N99:Q99"/>
    <mergeCell ref="R99:U99"/>
    <mergeCell ref="V99:Y99"/>
    <mergeCell ref="Z99:AC99"/>
    <mergeCell ref="AD99:AG99"/>
    <mergeCell ref="AY99:AZ99"/>
    <mergeCell ref="AJ96:AL96"/>
    <mergeCell ref="AY96:AZ96"/>
    <mergeCell ref="BA96:BB96"/>
    <mergeCell ref="B97:D100"/>
    <mergeCell ref="E97:I97"/>
    <mergeCell ref="J97:M97"/>
    <mergeCell ref="N97:Q97"/>
    <mergeCell ref="R97:U97"/>
    <mergeCell ref="V97:Y97"/>
    <mergeCell ref="E96:I96"/>
    <mergeCell ref="J96:M96"/>
    <mergeCell ref="N96:Q96"/>
    <mergeCell ref="R96:U96"/>
    <mergeCell ref="V96:Y96"/>
    <mergeCell ref="Z96:AC96"/>
    <mergeCell ref="Z97:AC97"/>
    <mergeCell ref="AD97:AG97"/>
    <mergeCell ref="AK97:AM97"/>
    <mergeCell ref="AY97:AZ97"/>
    <mergeCell ref="E98:I98"/>
    <mergeCell ref="J98:M98"/>
    <mergeCell ref="N98:Q98"/>
    <mergeCell ref="R98:U98"/>
    <mergeCell ref="V98:Y98"/>
    <mergeCell ref="AY94:AZ94"/>
    <mergeCell ref="E95:I95"/>
    <mergeCell ref="J95:M95"/>
    <mergeCell ref="N95:Q95"/>
    <mergeCell ref="R95:U95"/>
    <mergeCell ref="V95:Y95"/>
    <mergeCell ref="Z95:AC95"/>
    <mergeCell ref="AD95:AG95"/>
    <mergeCell ref="AK95:AM95"/>
    <mergeCell ref="AY95:AZ95"/>
    <mergeCell ref="J94:M94"/>
    <mergeCell ref="N94:Q94"/>
    <mergeCell ref="R94:U94"/>
    <mergeCell ref="V94:Y94"/>
    <mergeCell ref="Z94:AC94"/>
    <mergeCell ref="AD94:AG94"/>
    <mergeCell ref="AY92:AZ92"/>
    <mergeCell ref="E93:I93"/>
    <mergeCell ref="J93:M93"/>
    <mergeCell ref="N93:Q93"/>
    <mergeCell ref="R93:U93"/>
    <mergeCell ref="V93:Y93"/>
    <mergeCell ref="Z93:AC93"/>
    <mergeCell ref="AD93:AG93"/>
    <mergeCell ref="AY93:AZ93"/>
    <mergeCell ref="AD91:AG91"/>
    <mergeCell ref="B92:D96"/>
    <mergeCell ref="E92:I92"/>
    <mergeCell ref="J92:M92"/>
    <mergeCell ref="N92:Q92"/>
    <mergeCell ref="R92:U92"/>
    <mergeCell ref="V92:Y92"/>
    <mergeCell ref="Z92:AC92"/>
    <mergeCell ref="AD92:AG92"/>
    <mergeCell ref="E94:I94"/>
    <mergeCell ref="B90:D91"/>
    <mergeCell ref="E90:I91"/>
    <mergeCell ref="J90:Q90"/>
    <mergeCell ref="R90:Y90"/>
    <mergeCell ref="Z90:AG90"/>
    <mergeCell ref="J91:M91"/>
    <mergeCell ref="N91:Q91"/>
    <mergeCell ref="R91:U91"/>
    <mergeCell ref="V91:Y91"/>
    <mergeCell ref="Z91:AC91"/>
    <mergeCell ref="AD96:AG96"/>
    <mergeCell ref="AI86:AK86"/>
    <mergeCell ref="B87:F87"/>
    <mergeCell ref="G87:K87"/>
    <mergeCell ref="L87:P87"/>
    <mergeCell ref="Q87:U87"/>
    <mergeCell ref="V87:Z87"/>
    <mergeCell ref="AA87:AE87"/>
    <mergeCell ref="AA85:AE85"/>
    <mergeCell ref="B86:F86"/>
    <mergeCell ref="G86:K86"/>
    <mergeCell ref="L86:P86"/>
    <mergeCell ref="Q86:U86"/>
    <mergeCell ref="V86:Z86"/>
    <mergeCell ref="AA86:AE86"/>
    <mergeCell ref="B82:G82"/>
    <mergeCell ref="H82:M82"/>
    <mergeCell ref="N82:S82"/>
    <mergeCell ref="T82:Y82"/>
    <mergeCell ref="Z82:AG82"/>
    <mergeCell ref="B85:F85"/>
    <mergeCell ref="G85:K85"/>
    <mergeCell ref="L85:P85"/>
    <mergeCell ref="Q85:U85"/>
    <mergeCell ref="V85:Z85"/>
    <mergeCell ref="B80:G80"/>
    <mergeCell ref="H80:M80"/>
    <mergeCell ref="N80:S80"/>
    <mergeCell ref="T80:Y80"/>
    <mergeCell ref="Z80:AG80"/>
    <mergeCell ref="B81:G81"/>
    <mergeCell ref="H81:M81"/>
    <mergeCell ref="N81:S81"/>
    <mergeCell ref="T81:Y81"/>
    <mergeCell ref="Z81:AG81"/>
    <mergeCell ref="B78:G78"/>
    <mergeCell ref="H78:M78"/>
    <mergeCell ref="N78:S78"/>
    <mergeCell ref="T78:Y78"/>
    <mergeCell ref="Z78:AG78"/>
    <mergeCell ref="B79:G79"/>
    <mergeCell ref="H79:M79"/>
    <mergeCell ref="N79:S79"/>
    <mergeCell ref="T79:Y79"/>
    <mergeCell ref="Z79:AG79"/>
    <mergeCell ref="H71:J72"/>
    <mergeCell ref="K71:L72"/>
    <mergeCell ref="M71:N72"/>
    <mergeCell ref="O71:Q72"/>
    <mergeCell ref="X73:Y73"/>
    <mergeCell ref="Z73:AB73"/>
    <mergeCell ref="AC73:AD73"/>
    <mergeCell ref="AE73:AG73"/>
    <mergeCell ref="B76:G77"/>
    <mergeCell ref="H76:Y76"/>
    <mergeCell ref="Z76:AG77"/>
    <mergeCell ref="H77:M77"/>
    <mergeCell ref="N77:S77"/>
    <mergeCell ref="T77:Y77"/>
    <mergeCell ref="AQ67:AR67"/>
    <mergeCell ref="AQ68:AR68"/>
    <mergeCell ref="V67:W68"/>
    <mergeCell ref="X67:Y68"/>
    <mergeCell ref="Z67:AB68"/>
    <mergeCell ref="AC67:AD68"/>
    <mergeCell ref="AE71:AG72"/>
    <mergeCell ref="B73:D73"/>
    <mergeCell ref="E73:G73"/>
    <mergeCell ref="H73:J73"/>
    <mergeCell ref="K73:L73"/>
    <mergeCell ref="M73:N73"/>
    <mergeCell ref="O73:Q73"/>
    <mergeCell ref="R73:S73"/>
    <mergeCell ref="T73:U73"/>
    <mergeCell ref="V73:W73"/>
    <mergeCell ref="R71:S72"/>
    <mergeCell ref="T71:U72"/>
    <mergeCell ref="V71:W72"/>
    <mergeCell ref="X71:Y72"/>
    <mergeCell ref="Z71:AB72"/>
    <mergeCell ref="AC71:AD72"/>
    <mergeCell ref="B71:D72"/>
    <mergeCell ref="E71:G72"/>
    <mergeCell ref="AQ63:AR63"/>
    <mergeCell ref="AQ64:AR64"/>
    <mergeCell ref="B69:D70"/>
    <mergeCell ref="E69:G70"/>
    <mergeCell ref="H69:J70"/>
    <mergeCell ref="K69:L70"/>
    <mergeCell ref="M69:N70"/>
    <mergeCell ref="O69:Q70"/>
    <mergeCell ref="R69:S70"/>
    <mergeCell ref="R67:S68"/>
    <mergeCell ref="T67:U68"/>
    <mergeCell ref="B67:D68"/>
    <mergeCell ref="E67:G68"/>
    <mergeCell ref="H67:J68"/>
    <mergeCell ref="K67:L68"/>
    <mergeCell ref="M67:N68"/>
    <mergeCell ref="O67:Q68"/>
    <mergeCell ref="T69:U70"/>
    <mergeCell ref="V69:W70"/>
    <mergeCell ref="X69:Y70"/>
    <mergeCell ref="Z69:AB70"/>
    <mergeCell ref="AC69:AD70"/>
    <mergeCell ref="AE69:AG70"/>
    <mergeCell ref="AE67:AG68"/>
    <mergeCell ref="B65:D66"/>
    <mergeCell ref="E65:G66"/>
    <mergeCell ref="H65:J66"/>
    <mergeCell ref="K65:L66"/>
    <mergeCell ref="M65:N66"/>
    <mergeCell ref="O65:Q66"/>
    <mergeCell ref="R65:S66"/>
    <mergeCell ref="T65:U66"/>
    <mergeCell ref="AQ61:AR61"/>
    <mergeCell ref="F62:I62"/>
    <mergeCell ref="J62:M62"/>
    <mergeCell ref="N62:Q62"/>
    <mergeCell ref="R62:U62"/>
    <mergeCell ref="V62:Y62"/>
    <mergeCell ref="Z62:AC62"/>
    <mergeCell ref="AD62:AG62"/>
    <mergeCell ref="AQ62:AR62"/>
    <mergeCell ref="V65:W66"/>
    <mergeCell ref="X65:Y66"/>
    <mergeCell ref="Z65:AB66"/>
    <mergeCell ref="AC65:AD66"/>
    <mergeCell ref="AE65:AG66"/>
    <mergeCell ref="AQ65:AR65"/>
    <mergeCell ref="AQ66:AR66"/>
    <mergeCell ref="V58:Y58"/>
    <mergeCell ref="Z58:AC58"/>
    <mergeCell ref="AD58:AG58"/>
    <mergeCell ref="B61:E62"/>
    <mergeCell ref="F61:I61"/>
    <mergeCell ref="J61:M61"/>
    <mergeCell ref="N61:Q61"/>
    <mergeCell ref="R61:U61"/>
    <mergeCell ref="V61:Y61"/>
    <mergeCell ref="Z61:AC61"/>
    <mergeCell ref="AD61:AG61"/>
    <mergeCell ref="F60:I60"/>
    <mergeCell ref="J60:M60"/>
    <mergeCell ref="N60:Q60"/>
    <mergeCell ref="R60:U60"/>
    <mergeCell ref="V60:Y60"/>
    <mergeCell ref="Z60:AC60"/>
    <mergeCell ref="F57:I57"/>
    <mergeCell ref="J57:M57"/>
    <mergeCell ref="N57:Q57"/>
    <mergeCell ref="R57:U57"/>
    <mergeCell ref="V57:Y57"/>
    <mergeCell ref="Z57:AC57"/>
    <mergeCell ref="AQ58:AR58"/>
    <mergeCell ref="B59:E60"/>
    <mergeCell ref="F59:I59"/>
    <mergeCell ref="J59:M59"/>
    <mergeCell ref="N59:Q59"/>
    <mergeCell ref="R59:U59"/>
    <mergeCell ref="V59:Y59"/>
    <mergeCell ref="Z59:AC59"/>
    <mergeCell ref="AD59:AG59"/>
    <mergeCell ref="AQ59:AR59"/>
    <mergeCell ref="B57:E58"/>
    <mergeCell ref="AD60:AG60"/>
    <mergeCell ref="AQ60:AR60"/>
    <mergeCell ref="AD57:AG57"/>
    <mergeCell ref="F58:I58"/>
    <mergeCell ref="J58:M58"/>
    <mergeCell ref="N58:Q58"/>
    <mergeCell ref="R58:U58"/>
    <mergeCell ref="W48:X48"/>
    <mergeCell ref="AC48:AD48"/>
    <mergeCell ref="D49:G49"/>
    <mergeCell ref="W49:X49"/>
    <mergeCell ref="AC49:AD49"/>
    <mergeCell ref="B56:E56"/>
    <mergeCell ref="F56:I56"/>
    <mergeCell ref="J56:M56"/>
    <mergeCell ref="N56:Q56"/>
    <mergeCell ref="R56:U56"/>
    <mergeCell ref="B39:C49"/>
    <mergeCell ref="D39:F39"/>
    <mergeCell ref="G39:H39"/>
    <mergeCell ref="L39:M39"/>
    <mergeCell ref="Q39:R39"/>
    <mergeCell ref="W39:X39"/>
    <mergeCell ref="AC39:AD39"/>
    <mergeCell ref="V56:Y56"/>
    <mergeCell ref="Z56:AC56"/>
    <mergeCell ref="AD56:AG56"/>
    <mergeCell ref="W45:X45"/>
    <mergeCell ref="AC45:AD45"/>
    <mergeCell ref="W46:X46"/>
    <mergeCell ref="AC46:AD46"/>
    <mergeCell ref="W47:X47"/>
    <mergeCell ref="AC47:AD47"/>
    <mergeCell ref="D43:G43"/>
    <mergeCell ref="Q43:R43"/>
    <mergeCell ref="W43:X43"/>
    <mergeCell ref="AC43:AD43"/>
    <mergeCell ref="W44:X44"/>
    <mergeCell ref="AC44:AD44"/>
    <mergeCell ref="AJ39:AM39"/>
    <mergeCell ref="D40:G40"/>
    <mergeCell ref="AJ41:AM41"/>
    <mergeCell ref="D42:G42"/>
    <mergeCell ref="L42:M42"/>
    <mergeCell ref="Q42:R42"/>
    <mergeCell ref="W42:X42"/>
    <mergeCell ref="AC42:AD42"/>
    <mergeCell ref="L40:M40"/>
    <mergeCell ref="Q40:R40"/>
    <mergeCell ref="W40:X40"/>
    <mergeCell ref="AC40:AD40"/>
    <mergeCell ref="D41:G41"/>
    <mergeCell ref="L41:M41"/>
    <mergeCell ref="Q41:R41"/>
    <mergeCell ref="W41:X41"/>
    <mergeCell ref="AC41:AD41"/>
    <mergeCell ref="AE37:AG37"/>
    <mergeCell ref="B38:C38"/>
    <mergeCell ref="D38:H38"/>
    <mergeCell ref="I38:M38"/>
    <mergeCell ref="N38:R38"/>
    <mergeCell ref="S38:X38"/>
    <mergeCell ref="Y38:AD38"/>
    <mergeCell ref="AE38:AG38"/>
    <mergeCell ref="AJ38:AM38"/>
    <mergeCell ref="W34:X34"/>
    <mergeCell ref="AC34:AD34"/>
    <mergeCell ref="D35:G35"/>
    <mergeCell ref="W35:X35"/>
    <mergeCell ref="AC35:AD35"/>
    <mergeCell ref="B37:C37"/>
    <mergeCell ref="D37:H37"/>
    <mergeCell ref="I37:M37"/>
    <mergeCell ref="N37:R37"/>
    <mergeCell ref="S37:X37"/>
    <mergeCell ref="B25:C35"/>
    <mergeCell ref="Y37:AD37"/>
    <mergeCell ref="D27:G27"/>
    <mergeCell ref="L27:M27"/>
    <mergeCell ref="Q27:R27"/>
    <mergeCell ref="W27:X27"/>
    <mergeCell ref="W31:X31"/>
    <mergeCell ref="AC31:AD31"/>
    <mergeCell ref="W32:X32"/>
    <mergeCell ref="AC32:AD32"/>
    <mergeCell ref="W33:X33"/>
    <mergeCell ref="AC33:AD33"/>
    <mergeCell ref="D29:G29"/>
    <mergeCell ref="Q29:R29"/>
    <mergeCell ref="W29:X29"/>
    <mergeCell ref="AC29:AD29"/>
    <mergeCell ref="W30:X30"/>
    <mergeCell ref="AC30:AD30"/>
    <mergeCell ref="B24:C24"/>
    <mergeCell ref="D24:H24"/>
    <mergeCell ref="I24:M24"/>
    <mergeCell ref="N24:R24"/>
    <mergeCell ref="S24:X24"/>
    <mergeCell ref="Y24:AD24"/>
    <mergeCell ref="AE24:AG24"/>
    <mergeCell ref="AC27:AD27"/>
    <mergeCell ref="D28:G28"/>
    <mergeCell ref="L28:M28"/>
    <mergeCell ref="Q28:R28"/>
    <mergeCell ref="W28:X28"/>
    <mergeCell ref="AC28:AD28"/>
    <mergeCell ref="AC25:AD25"/>
    <mergeCell ref="D26:G26"/>
    <mergeCell ref="L26:M26"/>
    <mergeCell ref="Q26:R26"/>
    <mergeCell ref="W26:X26"/>
    <mergeCell ref="AC26:AD26"/>
    <mergeCell ref="D25:F25"/>
    <mergeCell ref="G25:H25"/>
    <mergeCell ref="L25:M25"/>
    <mergeCell ref="Q25:R25"/>
    <mergeCell ref="W25:X25"/>
    <mergeCell ref="AH17:AK17"/>
    <mergeCell ref="AX17:AY17"/>
    <mergeCell ref="D19:H19"/>
    <mergeCell ref="I19:M19"/>
    <mergeCell ref="N19:R19"/>
    <mergeCell ref="B23:C23"/>
    <mergeCell ref="D23:H23"/>
    <mergeCell ref="I23:M23"/>
    <mergeCell ref="N23:R23"/>
    <mergeCell ref="S23:X23"/>
    <mergeCell ref="B17:H17"/>
    <mergeCell ref="I17:M17"/>
    <mergeCell ref="N17:R17"/>
    <mergeCell ref="S17:W17"/>
    <mergeCell ref="X17:AA17"/>
    <mergeCell ref="AC17:AG17"/>
    <mergeCell ref="Y23:AD23"/>
    <mergeCell ref="AE23:AG23"/>
    <mergeCell ref="AH18:AK18"/>
    <mergeCell ref="B18:H18"/>
    <mergeCell ref="I18:M18"/>
    <mergeCell ref="N18:R18"/>
    <mergeCell ref="S18:W18"/>
    <mergeCell ref="X18:AA18"/>
    <mergeCell ref="AH15:AK15"/>
    <mergeCell ref="B16:H16"/>
    <mergeCell ref="I16:M16"/>
    <mergeCell ref="N16:R16"/>
    <mergeCell ref="S16:W16"/>
    <mergeCell ref="X16:AA16"/>
    <mergeCell ref="AC16:AG16"/>
    <mergeCell ref="AH16:AK16"/>
    <mergeCell ref="B15:H15"/>
    <mergeCell ref="I15:M15"/>
    <mergeCell ref="N15:R15"/>
    <mergeCell ref="S15:W15"/>
    <mergeCell ref="X15:AA15"/>
    <mergeCell ref="AC15:AG15"/>
    <mergeCell ref="I14:M14"/>
    <mergeCell ref="N14:R14"/>
    <mergeCell ref="S14:W14"/>
    <mergeCell ref="X14:AA14"/>
    <mergeCell ref="AC14:AG14"/>
    <mergeCell ref="AH14:AK14"/>
    <mergeCell ref="I13:M13"/>
    <mergeCell ref="N13:R13"/>
    <mergeCell ref="S13:W13"/>
    <mergeCell ref="X13:AA13"/>
    <mergeCell ref="AC13:AG13"/>
    <mergeCell ref="AH13:AK13"/>
    <mergeCell ref="B11:H12"/>
    <mergeCell ref="I11:M12"/>
    <mergeCell ref="N11:R12"/>
    <mergeCell ref="S11:W12"/>
    <mergeCell ref="A1:AG2"/>
    <mergeCell ref="AA3:AG4"/>
    <mergeCell ref="AA5:AG5"/>
    <mergeCell ref="B6:D6"/>
    <mergeCell ref="F6:L6"/>
    <mergeCell ref="M6:O6"/>
    <mergeCell ref="Y11:AA11"/>
    <mergeCell ref="AC11:AG12"/>
    <mergeCell ref="Y12:AA12"/>
    <mergeCell ref="I7:M7"/>
    <mergeCell ref="I8:M8"/>
    <mergeCell ref="V8:X8"/>
  </mergeCells>
  <phoneticPr fontId="9"/>
  <pageMargins left="0.59055118110236227" right="0.39370078740157483" top="0.39370078740157483" bottom="0.39370078740157483" header="0" footer="0"/>
  <pageSetup paperSize="9" scale="99" orientation="portrait" copies="9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BT113"/>
  <sheetViews>
    <sheetView view="pageBreakPreview" zoomScaleNormal="100" zoomScaleSheetLayoutView="100" workbookViewId="0">
      <selection activeCell="AH15" sqref="AH15:AK15"/>
    </sheetView>
  </sheetViews>
  <sheetFormatPr defaultColWidth="2.625" defaultRowHeight="15.6" customHeight="1" x14ac:dyDescent="0.15"/>
  <cols>
    <col min="1" max="1" width="2.625" style="69"/>
    <col min="2" max="29" width="2.625" style="4"/>
    <col min="30" max="30" width="2.625" style="4" customWidth="1"/>
    <col min="31" max="33" width="2.625" style="4"/>
    <col min="34" max="35" width="2.625" style="7"/>
    <col min="36" max="36" width="8.5" style="7" bestFit="1" customWidth="1"/>
    <col min="37" max="37" width="3.5" style="7" bestFit="1" customWidth="1"/>
    <col min="38" max="42" width="2.625" style="7"/>
    <col min="43" max="43" width="3.5" style="7" bestFit="1" customWidth="1"/>
    <col min="44" max="44" width="2.625" style="7"/>
    <col min="45" max="50" width="2.625" style="4"/>
    <col min="51" max="52" width="2.625" style="79"/>
    <col min="53" max="16384" width="2.625" style="4"/>
  </cols>
  <sheetData>
    <row r="1" spans="1:52" ht="15.6" customHeight="1" x14ac:dyDescent="0.15">
      <c r="A1" s="562" t="s">
        <v>6</v>
      </c>
      <c r="B1" s="562"/>
      <c r="C1" s="562"/>
      <c r="D1" s="562"/>
      <c r="E1" s="562"/>
      <c r="F1" s="562"/>
      <c r="G1" s="562"/>
      <c r="H1" s="562"/>
      <c r="I1" s="562"/>
      <c r="J1" s="562"/>
      <c r="K1" s="562"/>
      <c r="L1" s="562"/>
      <c r="M1" s="562"/>
      <c r="N1" s="562"/>
      <c r="O1" s="562"/>
      <c r="P1" s="562"/>
      <c r="Q1" s="562"/>
      <c r="R1" s="562"/>
      <c r="S1" s="562"/>
      <c r="T1" s="562"/>
      <c r="U1" s="562"/>
      <c r="V1" s="562"/>
      <c r="W1" s="562"/>
      <c r="X1" s="562"/>
      <c r="Y1" s="562"/>
      <c r="Z1" s="562"/>
      <c r="AA1" s="562"/>
      <c r="AB1" s="562"/>
      <c r="AC1" s="562"/>
      <c r="AD1" s="562"/>
      <c r="AE1" s="562"/>
      <c r="AF1" s="562"/>
      <c r="AG1" s="562"/>
      <c r="AH1" s="20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</row>
    <row r="2" spans="1:52" ht="15.6" customHeight="1" x14ac:dyDescent="0.15">
      <c r="A2" s="562"/>
      <c r="B2" s="562"/>
      <c r="C2" s="562"/>
      <c r="D2" s="562"/>
      <c r="E2" s="562"/>
      <c r="F2" s="562"/>
      <c r="G2" s="562"/>
      <c r="H2" s="562"/>
      <c r="I2" s="562"/>
      <c r="J2" s="562"/>
      <c r="K2" s="562"/>
      <c r="L2" s="562"/>
      <c r="M2" s="562"/>
      <c r="N2" s="562"/>
      <c r="O2" s="562"/>
      <c r="P2" s="562"/>
      <c r="Q2" s="562"/>
      <c r="R2" s="562"/>
      <c r="S2" s="562"/>
      <c r="T2" s="562"/>
      <c r="U2" s="562"/>
      <c r="V2" s="562"/>
      <c r="W2" s="562"/>
      <c r="X2" s="562"/>
      <c r="Y2" s="562"/>
      <c r="Z2" s="562"/>
      <c r="AA2" s="562"/>
      <c r="AB2" s="562"/>
      <c r="AC2" s="562"/>
      <c r="AD2" s="562"/>
      <c r="AE2" s="562"/>
      <c r="AF2" s="562"/>
      <c r="AG2" s="562"/>
      <c r="AH2" s="20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</row>
    <row r="3" spans="1:52" s="3" customFormat="1" ht="15.6" customHeight="1" x14ac:dyDescent="0.15">
      <c r="A3" s="49"/>
      <c r="B3" s="41"/>
      <c r="C3" s="42"/>
      <c r="D3" s="42"/>
      <c r="E3" s="42"/>
      <c r="F3" s="42"/>
      <c r="G3" s="42"/>
      <c r="H3" s="42"/>
      <c r="I3" s="42"/>
      <c r="J3" s="42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33"/>
      <c r="W3" s="33"/>
      <c r="X3" s="33"/>
      <c r="Y3" s="33"/>
      <c r="Z3" s="33"/>
      <c r="AA3" s="563" t="s">
        <v>107</v>
      </c>
      <c r="AB3" s="563"/>
      <c r="AC3" s="563"/>
      <c r="AD3" s="563"/>
      <c r="AE3" s="563"/>
      <c r="AF3" s="563"/>
      <c r="AG3" s="563"/>
      <c r="AH3" s="21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Y3" s="79"/>
      <c r="AZ3" s="79"/>
    </row>
    <row r="4" spans="1:52" s="3" customFormat="1" ht="15.6" customHeight="1" x14ac:dyDescent="0.15">
      <c r="A4" s="49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33"/>
      <c r="W4" s="33"/>
      <c r="X4" s="33"/>
      <c r="Y4" s="33"/>
      <c r="Z4" s="33"/>
      <c r="AA4" s="563"/>
      <c r="AB4" s="563"/>
      <c r="AC4" s="563"/>
      <c r="AD4" s="563"/>
      <c r="AE4" s="563"/>
      <c r="AF4" s="563"/>
      <c r="AG4" s="563"/>
      <c r="AH4" s="21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Y4" s="79"/>
      <c r="AZ4" s="79"/>
    </row>
    <row r="5" spans="1:52" s="3" customFormat="1" ht="15.6" customHeight="1" x14ac:dyDescent="0.15">
      <c r="A5" s="49" t="s">
        <v>66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21"/>
      <c r="W5" s="21"/>
      <c r="X5" s="21"/>
      <c r="Y5" s="21"/>
      <c r="Z5" s="21"/>
      <c r="AA5" s="891" t="s">
        <v>240</v>
      </c>
      <c r="AB5" s="564"/>
      <c r="AC5" s="564"/>
      <c r="AD5" s="564"/>
      <c r="AE5" s="564"/>
      <c r="AF5" s="564"/>
      <c r="AG5" s="564"/>
      <c r="AH5" s="21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Y5" s="79"/>
      <c r="AZ5" s="79"/>
    </row>
    <row r="6" spans="1:52" s="3" customFormat="1" ht="15.6" customHeight="1" x14ac:dyDescent="0.15">
      <c r="A6" s="49" t="s">
        <v>7</v>
      </c>
      <c r="B6" s="828" t="s">
        <v>108</v>
      </c>
      <c r="C6" s="828"/>
      <c r="D6" s="828"/>
      <c r="E6" s="35" t="s">
        <v>109</v>
      </c>
      <c r="F6" s="880">
        <v>44652</v>
      </c>
      <c r="G6" s="880"/>
      <c r="H6" s="880"/>
      <c r="I6" s="880"/>
      <c r="J6" s="880"/>
      <c r="K6" s="880"/>
      <c r="L6" s="880"/>
      <c r="M6" s="881" t="s">
        <v>111</v>
      </c>
      <c r="N6" s="881"/>
      <c r="O6" s="881"/>
      <c r="P6" s="16"/>
      <c r="Q6" s="16"/>
      <c r="R6" s="16"/>
      <c r="T6" s="16"/>
      <c r="U6" s="16"/>
      <c r="V6" s="16"/>
      <c r="W6" s="16"/>
      <c r="X6" s="16"/>
      <c r="Y6" s="16"/>
      <c r="Z6" s="16"/>
      <c r="AA6" s="14"/>
      <c r="AB6" s="14"/>
      <c r="AC6" s="14"/>
      <c r="AD6" s="14"/>
      <c r="AE6" s="14"/>
      <c r="AF6" s="14"/>
      <c r="AG6" s="14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Y6" s="79"/>
      <c r="AZ6" s="79"/>
    </row>
    <row r="7" spans="1:52" s="3" customFormat="1" ht="15.6" customHeight="1" x14ac:dyDescent="0.15">
      <c r="A7" s="49"/>
      <c r="B7" s="16"/>
      <c r="C7" s="16" t="s">
        <v>65</v>
      </c>
      <c r="D7" s="15"/>
      <c r="E7" s="16"/>
      <c r="F7" s="14"/>
      <c r="G7" s="14"/>
      <c r="H7" s="14"/>
      <c r="I7" s="546">
        <v>223506</v>
      </c>
      <c r="J7" s="546"/>
      <c r="K7" s="546"/>
      <c r="L7" s="546"/>
      <c r="M7" s="546"/>
      <c r="N7" s="14" t="s">
        <v>8</v>
      </c>
      <c r="O7" s="14"/>
      <c r="P7" s="112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Y7" s="79"/>
      <c r="AZ7" s="79"/>
    </row>
    <row r="8" spans="1:52" s="3" customFormat="1" ht="15.6" customHeight="1" x14ac:dyDescent="0.15">
      <c r="A8" s="49"/>
      <c r="B8" s="16"/>
      <c r="C8" s="16" t="s">
        <v>9</v>
      </c>
      <c r="D8" s="16"/>
      <c r="E8" s="16"/>
      <c r="F8" s="14"/>
      <c r="G8" s="14"/>
      <c r="H8" s="14"/>
      <c r="I8" s="547">
        <v>102284</v>
      </c>
      <c r="J8" s="546"/>
      <c r="K8" s="546"/>
      <c r="L8" s="546"/>
      <c r="M8" s="546"/>
      <c r="N8" s="14" t="s">
        <v>10</v>
      </c>
      <c r="O8" s="14"/>
      <c r="P8" s="16" t="s">
        <v>11</v>
      </c>
      <c r="Q8" s="16"/>
      <c r="R8" s="16"/>
      <c r="S8" s="16"/>
      <c r="T8" s="16"/>
      <c r="U8" s="16"/>
      <c r="V8" s="548">
        <f>I7/I8</f>
        <v>2.1851511477846</v>
      </c>
      <c r="W8" s="548"/>
      <c r="X8" s="548"/>
      <c r="Y8" s="16" t="s">
        <v>12</v>
      </c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Y8" s="79"/>
      <c r="AZ8" s="79"/>
    </row>
    <row r="9" spans="1:52" s="3" customFormat="1" ht="15.6" customHeight="1" x14ac:dyDescent="0.15">
      <c r="A9" s="49"/>
      <c r="B9" s="16"/>
      <c r="C9" s="16"/>
      <c r="D9" s="16"/>
      <c r="E9" s="16"/>
      <c r="F9" s="16"/>
      <c r="G9" s="16"/>
      <c r="H9" s="16"/>
      <c r="I9" s="118"/>
      <c r="J9" s="117"/>
      <c r="K9" s="117"/>
      <c r="L9" s="117"/>
      <c r="M9" s="117"/>
      <c r="N9" s="16"/>
      <c r="O9" s="16"/>
      <c r="P9" s="16"/>
      <c r="Q9" s="16"/>
      <c r="R9" s="16"/>
      <c r="S9" s="16"/>
      <c r="T9" s="16"/>
      <c r="U9" s="16"/>
      <c r="V9" s="88"/>
      <c r="W9" s="88"/>
      <c r="X9" s="88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Y9" s="79"/>
      <c r="AZ9" s="79"/>
    </row>
    <row r="10" spans="1:52" s="3" customFormat="1" ht="15.6" customHeight="1" x14ac:dyDescent="0.15">
      <c r="A10" s="49" t="s">
        <v>5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Y10" s="79"/>
      <c r="AZ10" s="79"/>
    </row>
    <row r="11" spans="1:52" s="3" customFormat="1" ht="15.6" customHeight="1" x14ac:dyDescent="0.15">
      <c r="A11" s="49"/>
      <c r="B11" s="549" t="s">
        <v>67</v>
      </c>
      <c r="C11" s="550"/>
      <c r="D11" s="550"/>
      <c r="E11" s="550"/>
      <c r="F11" s="550"/>
      <c r="G11" s="550"/>
      <c r="H11" s="551"/>
      <c r="I11" s="555" t="s">
        <v>130</v>
      </c>
      <c r="J11" s="556"/>
      <c r="K11" s="556"/>
      <c r="L11" s="556"/>
      <c r="M11" s="557"/>
      <c r="N11" s="555" t="s">
        <v>131</v>
      </c>
      <c r="O11" s="556"/>
      <c r="P11" s="556"/>
      <c r="Q11" s="556"/>
      <c r="R11" s="557"/>
      <c r="S11" s="561" t="s">
        <v>13</v>
      </c>
      <c r="T11" s="556"/>
      <c r="U11" s="556"/>
      <c r="V11" s="556"/>
      <c r="W11" s="557"/>
      <c r="X11" s="29"/>
      <c r="Y11" s="581" t="s">
        <v>68</v>
      </c>
      <c r="Z11" s="581"/>
      <c r="AA11" s="581"/>
      <c r="AB11" s="30"/>
      <c r="AC11" s="561" t="s">
        <v>81</v>
      </c>
      <c r="AD11" s="556"/>
      <c r="AE11" s="556"/>
      <c r="AF11" s="556"/>
      <c r="AG11" s="557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Y11" s="79"/>
      <c r="AZ11" s="79"/>
    </row>
    <row r="12" spans="1:52" s="3" customFormat="1" ht="15.6" customHeight="1" x14ac:dyDescent="0.15">
      <c r="A12" s="49"/>
      <c r="B12" s="552"/>
      <c r="C12" s="553"/>
      <c r="D12" s="553"/>
      <c r="E12" s="553"/>
      <c r="F12" s="553"/>
      <c r="G12" s="553"/>
      <c r="H12" s="554"/>
      <c r="I12" s="558"/>
      <c r="J12" s="559"/>
      <c r="K12" s="559"/>
      <c r="L12" s="559"/>
      <c r="M12" s="560"/>
      <c r="N12" s="558"/>
      <c r="O12" s="559"/>
      <c r="P12" s="559"/>
      <c r="Q12" s="559"/>
      <c r="R12" s="560"/>
      <c r="S12" s="558"/>
      <c r="T12" s="559"/>
      <c r="U12" s="559"/>
      <c r="V12" s="559"/>
      <c r="W12" s="560"/>
      <c r="X12" s="31"/>
      <c r="Y12" s="581" t="s">
        <v>69</v>
      </c>
      <c r="Z12" s="581"/>
      <c r="AA12" s="581"/>
      <c r="AB12" s="32"/>
      <c r="AC12" s="558"/>
      <c r="AD12" s="559"/>
      <c r="AE12" s="559"/>
      <c r="AF12" s="559"/>
      <c r="AG12" s="560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Y12" s="79"/>
      <c r="AZ12" s="79"/>
    </row>
    <row r="13" spans="1:52" s="3" customFormat="1" ht="15.6" customHeight="1" x14ac:dyDescent="0.15">
      <c r="A13" s="49"/>
      <c r="B13" s="101" t="s">
        <v>122</v>
      </c>
      <c r="C13" s="102"/>
      <c r="D13" s="102"/>
      <c r="E13" s="102"/>
      <c r="F13" s="102"/>
      <c r="G13" s="102"/>
      <c r="H13" s="103"/>
      <c r="I13" s="573">
        <v>2258</v>
      </c>
      <c r="J13" s="574"/>
      <c r="K13" s="574"/>
      <c r="L13" s="574"/>
      <c r="M13" s="575"/>
      <c r="N13" s="573">
        <v>3098</v>
      </c>
      <c r="O13" s="574"/>
      <c r="P13" s="574"/>
      <c r="Q13" s="574"/>
      <c r="R13" s="575"/>
      <c r="S13" s="573">
        <v>26</v>
      </c>
      <c r="T13" s="574"/>
      <c r="U13" s="574"/>
      <c r="V13" s="574"/>
      <c r="W13" s="575"/>
      <c r="X13" s="576">
        <f t="shared" ref="X13:X17" si="0">I13/S13</f>
        <v>86.84615384615384</v>
      </c>
      <c r="Y13" s="577"/>
      <c r="Z13" s="577"/>
      <c r="AA13" s="577"/>
      <c r="AB13" s="23"/>
      <c r="AC13" s="578">
        <v>13.769256069050732</v>
      </c>
      <c r="AD13" s="579"/>
      <c r="AE13" s="579"/>
      <c r="AF13" s="579"/>
      <c r="AG13" s="580"/>
      <c r="AH13" s="568"/>
      <c r="AI13" s="569"/>
      <c r="AJ13" s="569"/>
      <c r="AK13" s="569"/>
      <c r="AL13" s="16"/>
      <c r="AM13" s="18"/>
      <c r="AN13" s="16"/>
      <c r="AO13" s="16"/>
      <c r="AP13" s="16"/>
      <c r="AQ13" s="16"/>
      <c r="AR13" s="16"/>
      <c r="AS13" s="16"/>
      <c r="AT13" s="16"/>
      <c r="AU13" s="16"/>
      <c r="AY13" s="79"/>
      <c r="AZ13" s="79"/>
    </row>
    <row r="14" spans="1:52" s="3" customFormat="1" ht="15.6" customHeight="1" x14ac:dyDescent="0.15">
      <c r="A14" s="49"/>
      <c r="B14" s="101" t="s">
        <v>126</v>
      </c>
      <c r="C14" s="102"/>
      <c r="D14" s="102"/>
      <c r="E14" s="102"/>
      <c r="F14" s="102"/>
      <c r="G14" s="102"/>
      <c r="H14" s="103"/>
      <c r="I14" s="570">
        <v>2329</v>
      </c>
      <c r="J14" s="571"/>
      <c r="K14" s="571"/>
      <c r="L14" s="571"/>
      <c r="M14" s="572"/>
      <c r="N14" s="570">
        <v>3076</v>
      </c>
      <c r="O14" s="571"/>
      <c r="P14" s="571"/>
      <c r="Q14" s="571"/>
      <c r="R14" s="572"/>
      <c r="S14" s="570">
        <v>28</v>
      </c>
      <c r="T14" s="571"/>
      <c r="U14" s="571"/>
      <c r="V14" s="571"/>
      <c r="W14" s="572"/>
      <c r="X14" s="582">
        <f t="shared" si="0"/>
        <v>83.178571428571431</v>
      </c>
      <c r="Y14" s="583"/>
      <c r="Z14" s="583"/>
      <c r="AA14" s="583"/>
      <c r="AB14" s="34"/>
      <c r="AC14" s="584">
        <v>13.65933373002833</v>
      </c>
      <c r="AD14" s="585"/>
      <c r="AE14" s="585"/>
      <c r="AF14" s="585"/>
      <c r="AG14" s="586"/>
      <c r="AH14" s="568"/>
      <c r="AI14" s="569"/>
      <c r="AJ14" s="569"/>
      <c r="AK14" s="569"/>
      <c r="AL14" s="16"/>
      <c r="AM14" s="18"/>
      <c r="AN14" s="16"/>
      <c r="AO14" s="16"/>
      <c r="AP14" s="16"/>
      <c r="AQ14" s="16"/>
      <c r="AR14" s="16"/>
      <c r="AS14" s="16"/>
      <c r="AT14" s="16"/>
      <c r="AU14" s="16"/>
      <c r="AY14" s="79"/>
      <c r="AZ14" s="79"/>
    </row>
    <row r="15" spans="1:52" s="3" customFormat="1" ht="15.6" customHeight="1" x14ac:dyDescent="0.15">
      <c r="A15" s="49"/>
      <c r="B15" s="101" t="s">
        <v>129</v>
      </c>
      <c r="C15" s="102"/>
      <c r="D15" s="102"/>
      <c r="E15" s="102"/>
      <c r="F15" s="102"/>
      <c r="G15" s="102"/>
      <c r="H15" s="103"/>
      <c r="I15" s="570">
        <v>2409</v>
      </c>
      <c r="J15" s="571"/>
      <c r="K15" s="571"/>
      <c r="L15" s="571"/>
      <c r="M15" s="572"/>
      <c r="N15" s="570">
        <v>3167</v>
      </c>
      <c r="O15" s="571"/>
      <c r="P15" s="571"/>
      <c r="Q15" s="571"/>
      <c r="R15" s="572"/>
      <c r="S15" s="573">
        <v>28</v>
      </c>
      <c r="T15" s="574"/>
      <c r="U15" s="574"/>
      <c r="V15" s="574"/>
      <c r="W15" s="575"/>
      <c r="X15" s="576">
        <f t="shared" si="0"/>
        <v>86.035714285714292</v>
      </c>
      <c r="Y15" s="577"/>
      <c r="Z15" s="577"/>
      <c r="AA15" s="577"/>
      <c r="AB15" s="23"/>
      <c r="AC15" s="578">
        <v>14.09717121808996</v>
      </c>
      <c r="AD15" s="579"/>
      <c r="AE15" s="579"/>
      <c r="AF15" s="579"/>
      <c r="AG15" s="580"/>
      <c r="AH15" s="568"/>
      <c r="AI15" s="569"/>
      <c r="AJ15" s="569"/>
      <c r="AK15" s="569"/>
      <c r="AL15" s="16"/>
      <c r="AM15" s="18"/>
      <c r="AN15" s="16"/>
      <c r="AO15" s="16"/>
      <c r="AP15" s="16"/>
      <c r="AQ15" s="16"/>
      <c r="AR15" s="16"/>
      <c r="AS15" s="16"/>
      <c r="AT15" s="16"/>
      <c r="AU15" s="16"/>
      <c r="AY15" s="79"/>
      <c r="AZ15" s="79"/>
    </row>
    <row r="16" spans="1:52" s="3" customFormat="1" ht="15.6" customHeight="1" x14ac:dyDescent="0.15">
      <c r="A16" s="49"/>
      <c r="B16" s="589" t="s">
        <v>144</v>
      </c>
      <c r="C16" s="589"/>
      <c r="D16" s="589"/>
      <c r="E16" s="589"/>
      <c r="F16" s="589"/>
      <c r="G16" s="589"/>
      <c r="H16" s="589"/>
      <c r="I16" s="570">
        <v>2478</v>
      </c>
      <c r="J16" s="571"/>
      <c r="K16" s="571"/>
      <c r="L16" s="571"/>
      <c r="M16" s="572"/>
      <c r="N16" s="570">
        <v>3222</v>
      </c>
      <c r="O16" s="571"/>
      <c r="P16" s="571"/>
      <c r="Q16" s="571"/>
      <c r="R16" s="572"/>
      <c r="S16" s="570">
        <v>29</v>
      </c>
      <c r="T16" s="571"/>
      <c r="U16" s="571"/>
      <c r="V16" s="571"/>
      <c r="W16" s="572"/>
      <c r="X16" s="576">
        <f t="shared" si="0"/>
        <v>85.448275862068968</v>
      </c>
      <c r="Y16" s="577"/>
      <c r="Z16" s="577"/>
      <c r="AA16" s="577"/>
      <c r="AB16" s="23"/>
      <c r="AC16" s="578">
        <v>14.375008365344719</v>
      </c>
      <c r="AD16" s="579"/>
      <c r="AE16" s="579"/>
      <c r="AF16" s="579"/>
      <c r="AG16" s="580"/>
      <c r="AH16" s="587"/>
      <c r="AI16" s="588"/>
      <c r="AJ16" s="588"/>
      <c r="AK16" s="588"/>
      <c r="AL16" s="14"/>
      <c r="AM16" s="18"/>
      <c r="AN16" s="14"/>
      <c r="AO16" s="16"/>
      <c r="AP16" s="16"/>
      <c r="AQ16" s="16"/>
      <c r="AR16" s="16"/>
      <c r="AS16" s="16"/>
      <c r="AT16" s="16"/>
      <c r="AU16" s="16"/>
      <c r="AY16" s="79"/>
      <c r="AZ16" s="79"/>
    </row>
    <row r="17" spans="1:52" s="3" customFormat="1" ht="15.6" customHeight="1" x14ac:dyDescent="0.15">
      <c r="A17" s="49"/>
      <c r="B17" s="589" t="s">
        <v>148</v>
      </c>
      <c r="C17" s="589"/>
      <c r="D17" s="589"/>
      <c r="E17" s="589"/>
      <c r="F17" s="589"/>
      <c r="G17" s="589"/>
      <c r="H17" s="589"/>
      <c r="I17" s="570">
        <v>2523</v>
      </c>
      <c r="J17" s="571"/>
      <c r="K17" s="571"/>
      <c r="L17" s="571"/>
      <c r="M17" s="572"/>
      <c r="N17" s="570">
        <v>3258</v>
      </c>
      <c r="O17" s="571"/>
      <c r="P17" s="571"/>
      <c r="Q17" s="571"/>
      <c r="R17" s="572"/>
      <c r="S17" s="570">
        <v>30</v>
      </c>
      <c r="T17" s="571"/>
      <c r="U17" s="571"/>
      <c r="V17" s="571"/>
      <c r="W17" s="572"/>
      <c r="X17" s="576">
        <f t="shared" si="0"/>
        <v>84.1</v>
      </c>
      <c r="Y17" s="577"/>
      <c r="Z17" s="577"/>
      <c r="AA17" s="577"/>
      <c r="AB17" s="23"/>
      <c r="AC17" s="578">
        <v>14.560112977181111</v>
      </c>
      <c r="AD17" s="579"/>
      <c r="AE17" s="579"/>
      <c r="AF17" s="579"/>
      <c r="AG17" s="580"/>
      <c r="AH17" s="587"/>
      <c r="AI17" s="588"/>
      <c r="AJ17" s="588"/>
      <c r="AK17" s="588"/>
      <c r="AL17" s="14"/>
      <c r="AM17" s="18"/>
      <c r="AN17" s="14"/>
      <c r="AO17" s="14"/>
      <c r="AP17" s="14"/>
      <c r="AQ17" s="14"/>
      <c r="AR17" s="14"/>
      <c r="AS17" s="14"/>
      <c r="AT17" s="14"/>
      <c r="AU17" s="14"/>
      <c r="AY17" s="79"/>
      <c r="AZ17" s="79"/>
    </row>
    <row r="18" spans="1:52" s="3" customFormat="1" ht="15.6" customHeight="1" x14ac:dyDescent="0.15">
      <c r="A18" s="49"/>
      <c r="B18" s="597" t="s">
        <v>168</v>
      </c>
      <c r="C18" s="597"/>
      <c r="D18" s="597"/>
      <c r="E18" s="597"/>
      <c r="F18" s="597"/>
      <c r="G18" s="597"/>
      <c r="H18" s="597"/>
      <c r="I18" s="598">
        <v>2564</v>
      </c>
      <c r="J18" s="599"/>
      <c r="K18" s="599"/>
      <c r="L18" s="599"/>
      <c r="M18" s="600"/>
      <c r="N18" s="598">
        <v>3302</v>
      </c>
      <c r="O18" s="599"/>
      <c r="P18" s="599"/>
      <c r="Q18" s="599"/>
      <c r="R18" s="600"/>
      <c r="S18" s="570">
        <v>31</v>
      </c>
      <c r="T18" s="571"/>
      <c r="U18" s="571"/>
      <c r="V18" s="571"/>
      <c r="W18" s="572"/>
      <c r="X18" s="576">
        <f>I18/S18</f>
        <v>82.709677419354833</v>
      </c>
      <c r="Y18" s="577"/>
      <c r="Z18" s="577"/>
      <c r="AA18" s="577"/>
      <c r="AB18" s="23"/>
      <c r="AC18" s="578">
        <v>14.773652608878509</v>
      </c>
      <c r="AD18" s="579"/>
      <c r="AE18" s="579"/>
      <c r="AF18" s="579"/>
      <c r="AG18" s="580"/>
      <c r="AH18" s="841"/>
      <c r="AI18" s="842"/>
      <c r="AJ18" s="842"/>
      <c r="AK18" s="842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8"/>
      <c r="AX18" s="596"/>
      <c r="AY18" s="596"/>
      <c r="AZ18" s="79"/>
    </row>
    <row r="19" spans="1:52" s="1" customFormat="1" ht="15.6" customHeight="1" x14ac:dyDescent="0.15">
      <c r="A19" s="49"/>
      <c r="B19" s="230"/>
      <c r="C19" s="14"/>
      <c r="D19" s="590" t="s">
        <v>79</v>
      </c>
      <c r="E19" s="590"/>
      <c r="F19" s="590"/>
      <c r="G19" s="590"/>
      <c r="H19" s="590"/>
      <c r="I19" s="591">
        <v>90</v>
      </c>
      <c r="J19" s="592"/>
      <c r="K19" s="592"/>
      <c r="L19" s="592"/>
      <c r="M19" s="593"/>
      <c r="N19" s="594">
        <v>185</v>
      </c>
      <c r="O19" s="594"/>
      <c r="P19" s="594"/>
      <c r="Q19" s="594"/>
      <c r="R19" s="594"/>
      <c r="S19" s="112"/>
      <c r="T19" s="18"/>
      <c r="U19" s="16"/>
      <c r="V19" s="16"/>
      <c r="W19" s="16"/>
      <c r="X19" s="16"/>
      <c r="Y19" s="16"/>
      <c r="Z19" s="16"/>
      <c r="AA19" s="16"/>
      <c r="AB19" s="89"/>
      <c r="AC19" s="89"/>
      <c r="AD19" s="89"/>
      <c r="AE19" s="89"/>
      <c r="AF19" s="16"/>
      <c r="AG19" s="16"/>
      <c r="AH19" s="16"/>
      <c r="AI19" s="71"/>
      <c r="AJ19" s="16"/>
      <c r="AK19" s="16"/>
      <c r="AL19" s="16"/>
      <c r="AM19" s="16"/>
      <c r="AN19" s="16"/>
      <c r="AO19" s="16"/>
      <c r="AP19" s="13"/>
      <c r="AQ19" s="13"/>
      <c r="AR19" s="13"/>
      <c r="AY19" s="98"/>
      <c r="AZ19" s="98"/>
    </row>
    <row r="20" spans="1:52" s="1" customFormat="1" ht="15.6" customHeight="1" x14ac:dyDescent="0.15">
      <c r="A20" s="49"/>
      <c r="B20" s="112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545"/>
      <c r="AI20" s="545"/>
      <c r="AJ20" s="545"/>
      <c r="AK20" s="545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Y20" s="98"/>
      <c r="AZ20" s="98"/>
    </row>
    <row r="21" spans="1:52" s="14" customFormat="1" ht="15.6" customHeight="1" x14ac:dyDescent="0.15">
      <c r="A21" s="50" t="s">
        <v>124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24"/>
      <c r="X21" s="24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Y21" s="80"/>
      <c r="AZ21" s="80"/>
    </row>
    <row r="22" spans="1:52" s="14" customFormat="1" ht="15.6" customHeight="1" x14ac:dyDescent="0.15">
      <c r="A22" s="51" t="s">
        <v>143</v>
      </c>
      <c r="B22" s="25"/>
      <c r="C22" s="25"/>
      <c r="D22" s="109"/>
      <c r="E22" s="109"/>
      <c r="F22" s="109"/>
      <c r="G22" s="109"/>
      <c r="H22" s="22"/>
      <c r="I22" s="109"/>
      <c r="J22" s="109"/>
      <c r="K22" s="109"/>
      <c r="L22" s="1" t="s">
        <v>73</v>
      </c>
      <c r="M22" s="22"/>
      <c r="N22" s="109"/>
      <c r="O22" s="109"/>
      <c r="P22" s="109"/>
      <c r="Q22" s="109"/>
      <c r="R22" s="22"/>
      <c r="S22" s="116"/>
      <c r="T22" s="109"/>
      <c r="U22" s="109"/>
      <c r="V22" s="115"/>
      <c r="W22" s="115"/>
      <c r="X22" s="26"/>
      <c r="Y22" s="116"/>
      <c r="Z22" s="116"/>
      <c r="AA22" s="116"/>
      <c r="AB22" s="115"/>
      <c r="AC22" s="109"/>
      <c r="AD22" s="109"/>
      <c r="AE22" s="109"/>
      <c r="AF22" s="109"/>
      <c r="AG22" s="109"/>
      <c r="AH22" s="24"/>
      <c r="AI22" s="24"/>
      <c r="AJ22" s="24"/>
      <c r="AK22" s="24"/>
      <c r="AL22" s="24"/>
      <c r="AM22" s="24"/>
      <c r="AY22" s="80"/>
      <c r="AZ22" s="80"/>
    </row>
    <row r="23" spans="1:52" s="14" customFormat="1" ht="15.6" customHeight="1" x14ac:dyDescent="0.15">
      <c r="A23" s="52"/>
      <c r="B23" s="595" t="s">
        <v>14</v>
      </c>
      <c r="C23" s="595"/>
      <c r="D23" s="595" t="s">
        <v>15</v>
      </c>
      <c r="E23" s="595"/>
      <c r="F23" s="595"/>
      <c r="G23" s="595"/>
      <c r="H23" s="595"/>
      <c r="I23" s="595" t="s">
        <v>16</v>
      </c>
      <c r="J23" s="595"/>
      <c r="K23" s="595"/>
      <c r="L23" s="595"/>
      <c r="M23" s="595"/>
      <c r="N23" s="595" t="s">
        <v>17</v>
      </c>
      <c r="O23" s="595"/>
      <c r="P23" s="595"/>
      <c r="Q23" s="595"/>
      <c r="R23" s="595"/>
      <c r="S23" s="608" t="s">
        <v>18</v>
      </c>
      <c r="T23" s="609"/>
      <c r="U23" s="609"/>
      <c r="V23" s="609"/>
      <c r="W23" s="609"/>
      <c r="X23" s="610"/>
      <c r="Y23" s="608" t="s">
        <v>19</v>
      </c>
      <c r="Z23" s="609"/>
      <c r="AA23" s="609"/>
      <c r="AB23" s="609"/>
      <c r="AC23" s="609"/>
      <c r="AD23" s="610"/>
      <c r="AE23" s="608" t="s">
        <v>72</v>
      </c>
      <c r="AF23" s="609"/>
      <c r="AG23" s="610"/>
      <c r="AH23" s="13"/>
      <c r="AI23" s="13"/>
      <c r="AJ23" s="13"/>
      <c r="AK23" s="13"/>
      <c r="AL23" s="13"/>
      <c r="AM23" s="13"/>
      <c r="AY23" s="80"/>
      <c r="AZ23" s="80"/>
    </row>
    <row r="24" spans="1:52" s="14" customFormat="1" ht="15.6" customHeight="1" x14ac:dyDescent="0.15">
      <c r="A24" s="49"/>
      <c r="B24" s="611" t="s">
        <v>9</v>
      </c>
      <c r="C24" s="611"/>
      <c r="D24" s="612">
        <v>405</v>
      </c>
      <c r="E24" s="612"/>
      <c r="F24" s="612"/>
      <c r="G24" s="612"/>
      <c r="H24" s="612"/>
      <c r="I24" s="612">
        <f>SUM(L25:M28)</f>
        <v>29</v>
      </c>
      <c r="J24" s="612"/>
      <c r="K24" s="612"/>
      <c r="L24" s="612"/>
      <c r="M24" s="612"/>
      <c r="N24" s="612">
        <f>SUM(Q25:R29)</f>
        <v>21</v>
      </c>
      <c r="O24" s="612"/>
      <c r="P24" s="612"/>
      <c r="Q24" s="612"/>
      <c r="R24" s="612"/>
      <c r="S24" s="613">
        <f>SUM(W25:X35)</f>
        <v>350</v>
      </c>
      <c r="T24" s="614"/>
      <c r="U24" s="614"/>
      <c r="V24" s="614"/>
      <c r="W24" s="614"/>
      <c r="X24" s="615"/>
      <c r="Y24" s="613">
        <f>SUM(AC25:AD35)</f>
        <v>305</v>
      </c>
      <c r="Z24" s="614"/>
      <c r="AA24" s="614"/>
      <c r="AB24" s="614"/>
      <c r="AC24" s="614"/>
      <c r="AD24" s="615"/>
      <c r="AE24" s="613">
        <f>S24-Y24</f>
        <v>45</v>
      </c>
      <c r="AF24" s="614"/>
      <c r="AG24" s="615"/>
      <c r="AH24" s="16"/>
      <c r="AI24" s="13"/>
      <c r="AJ24" s="13"/>
      <c r="AK24" s="16"/>
      <c r="AL24" s="16"/>
      <c r="AM24" s="16"/>
      <c r="AY24" s="80"/>
      <c r="AZ24" s="80"/>
    </row>
    <row r="25" spans="1:52" s="14" customFormat="1" ht="15.6" customHeight="1" x14ac:dyDescent="0.15">
      <c r="A25" s="49"/>
      <c r="B25" s="632" t="s">
        <v>21</v>
      </c>
      <c r="C25" s="633"/>
      <c r="D25" s="624"/>
      <c r="E25" s="625"/>
      <c r="F25" s="625"/>
      <c r="G25" s="626"/>
      <c r="H25" s="627"/>
      <c r="I25" s="57" t="s">
        <v>22</v>
      </c>
      <c r="J25" s="58"/>
      <c r="K25" s="58"/>
      <c r="L25" s="622">
        <v>17</v>
      </c>
      <c r="M25" s="623"/>
      <c r="N25" s="57" t="s">
        <v>62</v>
      </c>
      <c r="O25" s="58"/>
      <c r="P25" s="58"/>
      <c r="Q25" s="622">
        <v>9</v>
      </c>
      <c r="R25" s="623"/>
      <c r="S25" s="94" t="s">
        <v>23</v>
      </c>
      <c r="T25" s="95"/>
      <c r="U25" s="95"/>
      <c r="V25" s="95"/>
      <c r="W25" s="622">
        <v>54</v>
      </c>
      <c r="X25" s="623"/>
      <c r="Y25" s="57" t="s">
        <v>97</v>
      </c>
      <c r="Z25" s="95"/>
      <c r="AA25" s="95"/>
      <c r="AB25" s="95"/>
      <c r="AC25" s="622">
        <v>0</v>
      </c>
      <c r="AD25" s="623"/>
      <c r="AE25" s="106"/>
      <c r="AF25" s="107"/>
      <c r="AG25" s="5"/>
      <c r="AH25" s="16"/>
      <c r="AI25" s="13"/>
      <c r="AJ25" s="13"/>
      <c r="AK25" s="16"/>
      <c r="AL25" s="16"/>
      <c r="AM25" s="16"/>
      <c r="AY25" s="80"/>
      <c r="AZ25" s="80"/>
    </row>
    <row r="26" spans="1:52" s="14" customFormat="1" ht="15.6" customHeight="1" x14ac:dyDescent="0.15">
      <c r="A26" s="49"/>
      <c r="B26" s="634"/>
      <c r="C26" s="635"/>
      <c r="D26" s="620"/>
      <c r="E26" s="621"/>
      <c r="F26" s="621"/>
      <c r="G26" s="621"/>
      <c r="H26" s="59"/>
      <c r="I26" s="60" t="s">
        <v>0</v>
      </c>
      <c r="J26" s="61"/>
      <c r="K26" s="61"/>
      <c r="L26" s="616">
        <v>6</v>
      </c>
      <c r="M26" s="617"/>
      <c r="N26" s="60" t="s">
        <v>3</v>
      </c>
      <c r="O26" s="61"/>
      <c r="P26" s="61"/>
      <c r="Q26" s="616">
        <v>6</v>
      </c>
      <c r="R26" s="617"/>
      <c r="S26" s="92" t="s">
        <v>90</v>
      </c>
      <c r="T26" s="93"/>
      <c r="U26" s="93"/>
      <c r="V26" s="93"/>
      <c r="W26" s="616">
        <v>0</v>
      </c>
      <c r="X26" s="617"/>
      <c r="Y26" s="60" t="s">
        <v>4</v>
      </c>
      <c r="Z26" s="61"/>
      <c r="AA26" s="61"/>
      <c r="AB26" s="61"/>
      <c r="AC26" s="616">
        <v>106</v>
      </c>
      <c r="AD26" s="617"/>
      <c r="AE26" s="104"/>
      <c r="AF26" s="105"/>
      <c r="AG26" s="6"/>
      <c r="AH26" s="16"/>
      <c r="AI26" s="13"/>
      <c r="AJ26" s="13"/>
      <c r="AK26" s="16"/>
      <c r="AL26" s="16"/>
      <c r="AM26" s="16"/>
      <c r="AY26" s="80"/>
      <c r="AZ26" s="80"/>
    </row>
    <row r="27" spans="1:52" s="14" customFormat="1" ht="15.6" customHeight="1" x14ac:dyDescent="0.15">
      <c r="A27" s="49"/>
      <c r="B27" s="634"/>
      <c r="C27" s="635"/>
      <c r="D27" s="620"/>
      <c r="E27" s="621"/>
      <c r="F27" s="621"/>
      <c r="G27" s="621"/>
      <c r="H27" s="59"/>
      <c r="I27" s="60" t="s">
        <v>61</v>
      </c>
      <c r="J27" s="61"/>
      <c r="K27" s="61"/>
      <c r="L27" s="616">
        <v>2</v>
      </c>
      <c r="M27" s="617"/>
      <c r="N27" s="60" t="s">
        <v>0</v>
      </c>
      <c r="O27" s="61"/>
      <c r="P27" s="61"/>
      <c r="Q27" s="616">
        <v>2</v>
      </c>
      <c r="R27" s="617"/>
      <c r="S27" s="92" t="s">
        <v>91</v>
      </c>
      <c r="T27" s="93"/>
      <c r="U27" s="93"/>
      <c r="V27" s="93"/>
      <c r="W27" s="616">
        <v>10</v>
      </c>
      <c r="X27" s="617"/>
      <c r="Y27" s="60" t="s">
        <v>2</v>
      </c>
      <c r="Z27" s="62"/>
      <c r="AA27" s="62"/>
      <c r="AB27" s="62"/>
      <c r="AC27" s="616">
        <v>22</v>
      </c>
      <c r="AD27" s="617"/>
      <c r="AE27" s="104"/>
      <c r="AF27" s="105"/>
      <c r="AG27" s="6"/>
      <c r="AH27" s="16"/>
      <c r="AI27" s="13"/>
      <c r="AJ27" s="13"/>
      <c r="AK27" s="16"/>
      <c r="AL27" s="16"/>
      <c r="AM27" s="16"/>
      <c r="AQ27" s="18"/>
      <c r="AY27" s="80"/>
      <c r="AZ27" s="80"/>
    </row>
    <row r="28" spans="1:52" s="14" customFormat="1" ht="15.6" customHeight="1" x14ac:dyDescent="0.15">
      <c r="A28" s="49"/>
      <c r="B28" s="634"/>
      <c r="C28" s="635"/>
      <c r="D28" s="620"/>
      <c r="E28" s="621"/>
      <c r="F28" s="621"/>
      <c r="G28" s="621"/>
      <c r="H28" s="59"/>
      <c r="I28" s="60" t="s">
        <v>60</v>
      </c>
      <c r="J28" s="61"/>
      <c r="K28" s="61"/>
      <c r="L28" s="616">
        <v>4</v>
      </c>
      <c r="M28" s="617"/>
      <c r="N28" s="60" t="s">
        <v>4</v>
      </c>
      <c r="O28" s="61"/>
      <c r="P28" s="61"/>
      <c r="Q28" s="616">
        <v>0</v>
      </c>
      <c r="R28" s="617"/>
      <c r="S28" s="92" t="s">
        <v>92</v>
      </c>
      <c r="T28" s="93"/>
      <c r="U28" s="93"/>
      <c r="V28" s="93"/>
      <c r="W28" s="616">
        <v>43</v>
      </c>
      <c r="X28" s="617"/>
      <c r="Y28" s="60" t="s">
        <v>98</v>
      </c>
      <c r="Z28" s="61"/>
      <c r="AA28" s="61"/>
      <c r="AB28" s="61"/>
      <c r="AC28" s="616">
        <v>40</v>
      </c>
      <c r="AD28" s="617"/>
      <c r="AE28" s="104"/>
      <c r="AF28" s="105"/>
      <c r="AG28" s="6"/>
      <c r="AH28" s="16"/>
      <c r="AI28" s="13"/>
      <c r="AJ28" s="13"/>
      <c r="AK28" s="16"/>
      <c r="AL28" s="16"/>
      <c r="AM28" s="16"/>
      <c r="AY28" s="80"/>
      <c r="AZ28" s="80"/>
    </row>
    <row r="29" spans="1:52" s="14" customFormat="1" ht="15.6" customHeight="1" x14ac:dyDescent="0.15">
      <c r="A29" s="49"/>
      <c r="B29" s="634"/>
      <c r="C29" s="635"/>
      <c r="D29" s="620"/>
      <c r="E29" s="621"/>
      <c r="F29" s="621"/>
      <c r="G29" s="621"/>
      <c r="H29" s="59"/>
      <c r="I29" s="60"/>
      <c r="J29" s="61"/>
      <c r="K29" s="61"/>
      <c r="L29" s="61"/>
      <c r="M29" s="63"/>
      <c r="N29" s="60" t="s">
        <v>60</v>
      </c>
      <c r="O29" s="61"/>
      <c r="P29" s="61"/>
      <c r="Q29" s="616">
        <v>4</v>
      </c>
      <c r="R29" s="617"/>
      <c r="S29" s="92" t="s">
        <v>94</v>
      </c>
      <c r="T29" s="93"/>
      <c r="U29" s="93"/>
      <c r="V29" s="93"/>
      <c r="W29" s="616">
        <v>22</v>
      </c>
      <c r="X29" s="617"/>
      <c r="Y29" s="60" t="s">
        <v>99</v>
      </c>
      <c r="Z29" s="61"/>
      <c r="AA29" s="61"/>
      <c r="AB29" s="61"/>
      <c r="AC29" s="618">
        <v>0</v>
      </c>
      <c r="AD29" s="619"/>
      <c r="AE29" s="104"/>
      <c r="AF29" s="105"/>
      <c r="AG29" s="6"/>
      <c r="AH29" s="16"/>
      <c r="AI29" s="13"/>
      <c r="AJ29" s="13"/>
      <c r="AK29" s="16"/>
      <c r="AL29" s="16"/>
      <c r="AM29" s="16"/>
      <c r="AY29" s="80"/>
      <c r="AZ29" s="80"/>
    </row>
    <row r="30" spans="1:52" s="14" customFormat="1" ht="15.6" customHeight="1" x14ac:dyDescent="0.15">
      <c r="A30" s="49"/>
      <c r="B30" s="634"/>
      <c r="C30" s="635"/>
      <c r="D30" s="92"/>
      <c r="E30" s="93"/>
      <c r="F30" s="93"/>
      <c r="G30" s="93"/>
      <c r="H30" s="59"/>
      <c r="I30" s="60"/>
      <c r="J30" s="61"/>
      <c r="K30" s="61"/>
      <c r="L30" s="61"/>
      <c r="M30" s="63"/>
      <c r="N30" s="60"/>
      <c r="O30" s="61"/>
      <c r="P30" s="61"/>
      <c r="Q30" s="90"/>
      <c r="R30" s="91"/>
      <c r="S30" s="92" t="s">
        <v>93</v>
      </c>
      <c r="T30" s="93"/>
      <c r="U30" s="93"/>
      <c r="V30" s="93"/>
      <c r="W30" s="616">
        <v>1</v>
      </c>
      <c r="X30" s="617"/>
      <c r="Y30" s="60" t="s">
        <v>100</v>
      </c>
      <c r="Z30" s="61"/>
      <c r="AA30" s="61"/>
      <c r="AB30" s="61"/>
      <c r="AC30" s="618">
        <v>9</v>
      </c>
      <c r="AD30" s="619"/>
      <c r="AE30" s="104"/>
      <c r="AF30" s="105"/>
      <c r="AG30" s="6"/>
      <c r="AH30" s="16"/>
      <c r="AI30" s="13"/>
      <c r="AJ30" s="13"/>
      <c r="AK30" s="16"/>
      <c r="AL30" s="16"/>
      <c r="AM30" s="16"/>
      <c r="AY30" s="80"/>
      <c r="AZ30" s="80"/>
    </row>
    <row r="31" spans="1:52" s="14" customFormat="1" ht="15.6" customHeight="1" x14ac:dyDescent="0.15">
      <c r="A31" s="49"/>
      <c r="B31" s="634"/>
      <c r="C31" s="635"/>
      <c r="D31" s="92"/>
      <c r="E31" s="93"/>
      <c r="F31" s="93"/>
      <c r="G31" s="93"/>
      <c r="H31" s="59"/>
      <c r="I31" s="60"/>
      <c r="J31" s="61"/>
      <c r="K31" s="61"/>
      <c r="L31" s="61"/>
      <c r="M31" s="63"/>
      <c r="N31" s="60"/>
      <c r="O31" s="61"/>
      <c r="P31" s="61"/>
      <c r="Q31" s="90"/>
      <c r="R31" s="91"/>
      <c r="S31" s="92" t="s">
        <v>95</v>
      </c>
      <c r="T31" s="93"/>
      <c r="U31" s="93"/>
      <c r="V31" s="93"/>
      <c r="W31" s="616">
        <v>50</v>
      </c>
      <c r="X31" s="617"/>
      <c r="Y31" s="60" t="s">
        <v>101</v>
      </c>
      <c r="Z31" s="61"/>
      <c r="AA31" s="61"/>
      <c r="AB31" s="61"/>
      <c r="AC31" s="618">
        <v>5</v>
      </c>
      <c r="AD31" s="619"/>
      <c r="AE31" s="104"/>
      <c r="AF31" s="105"/>
      <c r="AG31" s="6"/>
      <c r="AH31" s="16"/>
      <c r="AI31" s="16"/>
      <c r="AJ31" s="16"/>
      <c r="AK31" s="16"/>
      <c r="AL31" s="16"/>
      <c r="AM31" s="16"/>
      <c r="AY31" s="80"/>
      <c r="AZ31" s="80"/>
    </row>
    <row r="32" spans="1:52" s="14" customFormat="1" ht="15.6" customHeight="1" x14ac:dyDescent="0.15">
      <c r="A32" s="49"/>
      <c r="B32" s="634"/>
      <c r="C32" s="635"/>
      <c r="D32" s="92"/>
      <c r="E32" s="93"/>
      <c r="F32" s="93"/>
      <c r="G32" s="93"/>
      <c r="H32" s="59"/>
      <c r="I32" s="60"/>
      <c r="J32" s="61"/>
      <c r="K32" s="61"/>
      <c r="L32" s="61"/>
      <c r="M32" s="63"/>
      <c r="N32" s="60"/>
      <c r="O32" s="61"/>
      <c r="P32" s="61"/>
      <c r="Q32" s="90"/>
      <c r="R32" s="91"/>
      <c r="S32" s="92" t="s">
        <v>96</v>
      </c>
      <c r="T32" s="93"/>
      <c r="U32" s="93"/>
      <c r="V32" s="93"/>
      <c r="W32" s="616">
        <v>0</v>
      </c>
      <c r="X32" s="617"/>
      <c r="Y32" s="60" t="s">
        <v>103</v>
      </c>
      <c r="Z32" s="61"/>
      <c r="AA32" s="61"/>
      <c r="AB32" s="61"/>
      <c r="AC32" s="618">
        <v>18</v>
      </c>
      <c r="AD32" s="619"/>
      <c r="AE32" s="104"/>
      <c r="AF32" s="105"/>
      <c r="AG32" s="6"/>
      <c r="AH32" s="16"/>
      <c r="AI32" s="16"/>
      <c r="AJ32" s="16"/>
      <c r="AK32" s="16"/>
      <c r="AL32" s="16"/>
      <c r="AM32" s="16"/>
      <c r="AY32" s="80"/>
      <c r="AZ32" s="80"/>
    </row>
    <row r="33" spans="1:72" s="14" customFormat="1" ht="15.6" customHeight="1" x14ac:dyDescent="0.15">
      <c r="A33" s="49"/>
      <c r="B33" s="634"/>
      <c r="C33" s="635"/>
      <c r="D33" s="92"/>
      <c r="E33" s="93"/>
      <c r="F33" s="93"/>
      <c r="G33" s="93"/>
      <c r="H33" s="59"/>
      <c r="I33" s="60"/>
      <c r="J33" s="61"/>
      <c r="K33" s="61"/>
      <c r="L33" s="61"/>
      <c r="M33" s="63"/>
      <c r="N33" s="60"/>
      <c r="O33" s="61"/>
      <c r="P33" s="61"/>
      <c r="Q33" s="90"/>
      <c r="R33" s="91"/>
      <c r="S33" s="92" t="s">
        <v>80</v>
      </c>
      <c r="T33" s="93"/>
      <c r="U33" s="93"/>
      <c r="V33" s="93"/>
      <c r="W33" s="616">
        <v>137</v>
      </c>
      <c r="X33" s="617"/>
      <c r="Y33" s="60" t="s">
        <v>104</v>
      </c>
      <c r="Z33" s="61"/>
      <c r="AA33" s="61"/>
      <c r="AB33" s="61"/>
      <c r="AC33" s="618">
        <v>2</v>
      </c>
      <c r="AD33" s="619"/>
      <c r="AE33" s="104"/>
      <c r="AF33" s="105"/>
      <c r="AG33" s="6"/>
      <c r="AH33" s="16"/>
      <c r="AI33" s="16"/>
      <c r="AJ33" s="16"/>
      <c r="AK33" s="16"/>
      <c r="AL33" s="16"/>
      <c r="AM33" s="16"/>
      <c r="AY33" s="80"/>
      <c r="AZ33" s="80"/>
    </row>
    <row r="34" spans="1:72" s="3" customFormat="1" ht="15.6" customHeight="1" x14ac:dyDescent="0.15">
      <c r="A34" s="49"/>
      <c r="B34" s="634"/>
      <c r="C34" s="635"/>
      <c r="D34" s="92"/>
      <c r="E34" s="93"/>
      <c r="F34" s="93"/>
      <c r="G34" s="93"/>
      <c r="H34" s="59"/>
      <c r="I34" s="60"/>
      <c r="J34" s="61"/>
      <c r="K34" s="61"/>
      <c r="L34" s="61"/>
      <c r="M34" s="63"/>
      <c r="N34" s="60"/>
      <c r="O34" s="61"/>
      <c r="P34" s="61"/>
      <c r="Q34" s="90"/>
      <c r="R34" s="91"/>
      <c r="S34" s="92" t="s">
        <v>102</v>
      </c>
      <c r="T34" s="93"/>
      <c r="U34" s="93"/>
      <c r="V34" s="93"/>
      <c r="W34" s="616">
        <v>6</v>
      </c>
      <c r="X34" s="617"/>
      <c r="Y34" s="60" t="s">
        <v>105</v>
      </c>
      <c r="Z34" s="61"/>
      <c r="AA34" s="61"/>
      <c r="AB34" s="61"/>
      <c r="AC34" s="618">
        <v>44</v>
      </c>
      <c r="AD34" s="619"/>
      <c r="AE34" s="104"/>
      <c r="AF34" s="105"/>
      <c r="AG34" s="6"/>
      <c r="AH34" s="16"/>
      <c r="AI34" s="16"/>
      <c r="AJ34" s="16"/>
      <c r="AK34" s="16"/>
      <c r="AL34" s="16"/>
      <c r="AM34" s="16"/>
      <c r="AN34" s="14"/>
      <c r="AO34" s="14"/>
      <c r="AP34" s="14"/>
      <c r="AQ34" s="14"/>
      <c r="AR34" s="14"/>
      <c r="AY34" s="79"/>
      <c r="AZ34" s="79"/>
    </row>
    <row r="35" spans="1:72" s="2" customFormat="1" ht="15.6" customHeight="1" x14ac:dyDescent="0.15">
      <c r="A35" s="49"/>
      <c r="B35" s="636"/>
      <c r="C35" s="637"/>
      <c r="D35" s="628"/>
      <c r="E35" s="629"/>
      <c r="F35" s="629"/>
      <c r="G35" s="629"/>
      <c r="H35" s="64"/>
      <c r="I35" s="65"/>
      <c r="J35" s="66"/>
      <c r="K35" s="66"/>
      <c r="L35" s="66"/>
      <c r="M35" s="67"/>
      <c r="N35" s="65"/>
      <c r="O35" s="66"/>
      <c r="P35" s="66"/>
      <c r="Q35" s="66"/>
      <c r="R35" s="67"/>
      <c r="S35" s="96" t="s">
        <v>24</v>
      </c>
      <c r="T35" s="97"/>
      <c r="U35" s="97"/>
      <c r="V35" s="97"/>
      <c r="W35" s="630">
        <v>27</v>
      </c>
      <c r="X35" s="631"/>
      <c r="Y35" s="65" t="s">
        <v>24</v>
      </c>
      <c r="Z35" s="68"/>
      <c r="AA35" s="66"/>
      <c r="AB35" s="66"/>
      <c r="AC35" s="630">
        <v>59</v>
      </c>
      <c r="AD35" s="631"/>
      <c r="AE35" s="108"/>
      <c r="AF35" s="109"/>
      <c r="AG35" s="8"/>
      <c r="AH35" s="16"/>
      <c r="AI35" s="16"/>
      <c r="AJ35" s="16"/>
      <c r="AK35" s="16"/>
      <c r="AL35" s="16"/>
      <c r="AM35" s="16"/>
      <c r="AN35" s="537"/>
      <c r="AO35" s="537"/>
      <c r="AP35" s="537"/>
      <c r="AQ35" s="537"/>
      <c r="AR35" s="537"/>
      <c r="AY35" s="81"/>
      <c r="AZ35" s="81"/>
    </row>
    <row r="36" spans="1:72" s="14" customFormat="1" ht="15.6" customHeight="1" x14ac:dyDescent="0.15">
      <c r="A36" s="231" t="s">
        <v>188</v>
      </c>
      <c r="B36" s="25"/>
      <c r="C36" s="25"/>
      <c r="D36" s="229"/>
      <c r="E36" s="229"/>
      <c r="F36" s="229"/>
      <c r="G36" s="229"/>
      <c r="H36" s="48"/>
      <c r="I36" s="229"/>
      <c r="J36" s="229"/>
      <c r="K36" s="229"/>
      <c r="L36" s="229"/>
      <c r="M36" s="48"/>
      <c r="N36" s="229"/>
      <c r="O36" s="229"/>
      <c r="P36" s="109"/>
      <c r="Q36" s="109"/>
      <c r="R36" s="22"/>
      <c r="S36" s="116"/>
      <c r="T36" s="109"/>
      <c r="U36" s="109"/>
      <c r="V36" s="109"/>
      <c r="W36" s="115"/>
      <c r="X36" s="115"/>
      <c r="Y36" s="26"/>
      <c r="Z36" s="26"/>
      <c r="AA36" s="116"/>
      <c r="AB36" s="116"/>
      <c r="AC36" s="116"/>
      <c r="AD36" s="115"/>
      <c r="AE36" s="109"/>
      <c r="AF36" s="109"/>
      <c r="AG36" s="109"/>
      <c r="AH36" s="16"/>
      <c r="AI36" s="16"/>
      <c r="AJ36" s="16"/>
      <c r="AK36" s="16"/>
      <c r="AL36" s="18"/>
      <c r="AM36" s="16"/>
      <c r="AN36" s="17"/>
      <c r="AO36" s="10"/>
      <c r="AP36" s="10"/>
      <c r="AQ36" s="74"/>
      <c r="AR36" s="9"/>
      <c r="AS36" s="9"/>
      <c r="AT36" s="9"/>
      <c r="AU36" s="10"/>
      <c r="AV36" s="9"/>
      <c r="AW36" s="9"/>
      <c r="AX36" s="9"/>
      <c r="AY36" s="82"/>
      <c r="AZ36" s="82"/>
      <c r="BA36" s="9"/>
      <c r="BB36" s="9"/>
      <c r="BC36" s="9"/>
      <c r="BD36" s="9"/>
      <c r="BE36" s="10"/>
      <c r="BF36" s="9"/>
      <c r="BG36" s="9"/>
      <c r="BH36" s="9"/>
      <c r="BI36" s="11"/>
      <c r="BJ36" s="11"/>
      <c r="BK36" s="12"/>
      <c r="BL36" s="9"/>
      <c r="BM36" s="9"/>
      <c r="BN36" s="9"/>
      <c r="BO36" s="11"/>
      <c r="BP36" s="9"/>
      <c r="BQ36" s="9"/>
      <c r="BR36" s="9"/>
      <c r="BS36" s="9"/>
      <c r="BT36" s="105"/>
    </row>
    <row r="37" spans="1:72" s="14" customFormat="1" ht="15.6" customHeight="1" x14ac:dyDescent="0.15">
      <c r="A37" s="52"/>
      <c r="B37" s="595" t="s">
        <v>14</v>
      </c>
      <c r="C37" s="595"/>
      <c r="D37" s="595" t="s">
        <v>15</v>
      </c>
      <c r="E37" s="595"/>
      <c r="F37" s="595"/>
      <c r="G37" s="595"/>
      <c r="H37" s="595"/>
      <c r="I37" s="595" t="s">
        <v>16</v>
      </c>
      <c r="J37" s="595"/>
      <c r="K37" s="595"/>
      <c r="L37" s="595"/>
      <c r="M37" s="595"/>
      <c r="N37" s="595" t="s">
        <v>17</v>
      </c>
      <c r="O37" s="595"/>
      <c r="P37" s="595"/>
      <c r="Q37" s="595"/>
      <c r="R37" s="595"/>
      <c r="S37" s="608" t="s">
        <v>18</v>
      </c>
      <c r="T37" s="609"/>
      <c r="U37" s="609"/>
      <c r="V37" s="609"/>
      <c r="W37" s="609"/>
      <c r="X37" s="610"/>
      <c r="Y37" s="608" t="s">
        <v>19</v>
      </c>
      <c r="Z37" s="609"/>
      <c r="AA37" s="609"/>
      <c r="AB37" s="609"/>
      <c r="AC37" s="609"/>
      <c r="AD37" s="610"/>
      <c r="AE37" s="608" t="s">
        <v>72</v>
      </c>
      <c r="AF37" s="609"/>
      <c r="AG37" s="610"/>
      <c r="AH37" s="16"/>
      <c r="AI37" s="16"/>
      <c r="AJ37" s="16"/>
      <c r="AK37" s="16"/>
      <c r="AL37" s="16"/>
      <c r="AM37" s="16"/>
      <c r="AY37" s="80"/>
      <c r="AZ37" s="80"/>
    </row>
    <row r="38" spans="1:72" s="3" customFormat="1" ht="15.6" customHeight="1" x14ac:dyDescent="0.15">
      <c r="A38" s="49"/>
      <c r="B38" s="611" t="s">
        <v>9</v>
      </c>
      <c r="C38" s="611"/>
      <c r="D38" s="612">
        <v>365</v>
      </c>
      <c r="E38" s="612"/>
      <c r="F38" s="612"/>
      <c r="G38" s="612"/>
      <c r="H38" s="612"/>
      <c r="I38" s="612">
        <f>SUM(L39:M42)</f>
        <v>29</v>
      </c>
      <c r="J38" s="612"/>
      <c r="K38" s="612"/>
      <c r="L38" s="612"/>
      <c r="M38" s="612"/>
      <c r="N38" s="612">
        <f>SUM(Q39:R43)</f>
        <v>20</v>
      </c>
      <c r="O38" s="612"/>
      <c r="P38" s="612"/>
      <c r="Q38" s="612"/>
      <c r="R38" s="612"/>
      <c r="S38" s="613">
        <v>327</v>
      </c>
      <c r="T38" s="614"/>
      <c r="U38" s="614"/>
      <c r="V38" s="614"/>
      <c r="W38" s="614"/>
      <c r="X38" s="615"/>
      <c r="Y38" s="613">
        <v>286</v>
      </c>
      <c r="Z38" s="614"/>
      <c r="AA38" s="614"/>
      <c r="AB38" s="614"/>
      <c r="AC38" s="614"/>
      <c r="AD38" s="615"/>
      <c r="AE38" s="613">
        <f>S38-Y38</f>
        <v>41</v>
      </c>
      <c r="AF38" s="614"/>
      <c r="AG38" s="615"/>
      <c r="AH38" s="537"/>
      <c r="AI38" s="537"/>
      <c r="AJ38" s="888"/>
      <c r="AK38" s="888"/>
      <c r="AL38" s="888"/>
      <c r="AM38" s="888"/>
      <c r="AN38" s="18"/>
      <c r="AO38" s="14"/>
      <c r="AP38" s="14"/>
      <c r="AQ38" s="14"/>
      <c r="AR38" s="14"/>
      <c r="AY38" s="79"/>
      <c r="AZ38" s="79"/>
    </row>
    <row r="39" spans="1:72" s="3" customFormat="1" ht="15.6" customHeight="1" x14ac:dyDescent="0.15">
      <c r="A39" s="49"/>
      <c r="B39" s="632" t="s">
        <v>21</v>
      </c>
      <c r="C39" s="633"/>
      <c r="D39" s="624"/>
      <c r="E39" s="625"/>
      <c r="F39" s="625"/>
      <c r="G39" s="626"/>
      <c r="H39" s="627"/>
      <c r="I39" s="57" t="s">
        <v>22</v>
      </c>
      <c r="J39" s="58"/>
      <c r="K39" s="58"/>
      <c r="L39" s="622">
        <v>8</v>
      </c>
      <c r="M39" s="623"/>
      <c r="N39" s="57" t="s">
        <v>62</v>
      </c>
      <c r="O39" s="58"/>
      <c r="P39" s="58"/>
      <c r="Q39" s="622">
        <v>13</v>
      </c>
      <c r="R39" s="623"/>
      <c r="S39" s="94" t="s">
        <v>23</v>
      </c>
      <c r="T39" s="95"/>
      <c r="U39" s="95"/>
      <c r="V39" s="95"/>
      <c r="W39" s="622">
        <v>54</v>
      </c>
      <c r="X39" s="623"/>
      <c r="Y39" s="57" t="s">
        <v>97</v>
      </c>
      <c r="Z39" s="95"/>
      <c r="AA39" s="95"/>
      <c r="AB39" s="95"/>
      <c r="AC39" s="622">
        <v>0</v>
      </c>
      <c r="AD39" s="623"/>
      <c r="AE39" s="106"/>
      <c r="AF39" s="107"/>
      <c r="AG39" s="5"/>
      <c r="AH39" s="16"/>
      <c r="AI39" s="16"/>
      <c r="AJ39" s="643"/>
      <c r="AK39" s="643"/>
      <c r="AL39" s="643"/>
      <c r="AM39" s="643"/>
      <c r="AN39" s="14"/>
      <c r="AO39" s="14"/>
      <c r="AP39" s="14"/>
      <c r="AQ39" s="14"/>
      <c r="AR39" s="14"/>
      <c r="AY39" s="79"/>
      <c r="AZ39" s="79"/>
    </row>
    <row r="40" spans="1:72" s="3" customFormat="1" ht="15.6" customHeight="1" x14ac:dyDescent="0.15">
      <c r="A40" s="49"/>
      <c r="B40" s="634"/>
      <c r="C40" s="635"/>
      <c r="D40" s="620"/>
      <c r="E40" s="621"/>
      <c r="F40" s="621"/>
      <c r="G40" s="621"/>
      <c r="H40" s="59"/>
      <c r="I40" s="60" t="s">
        <v>0</v>
      </c>
      <c r="J40" s="61"/>
      <c r="K40" s="61"/>
      <c r="L40" s="616">
        <v>2</v>
      </c>
      <c r="M40" s="617"/>
      <c r="N40" s="60" t="s">
        <v>3</v>
      </c>
      <c r="O40" s="61"/>
      <c r="P40" s="61"/>
      <c r="Q40" s="616">
        <v>0</v>
      </c>
      <c r="R40" s="617"/>
      <c r="S40" s="92" t="s">
        <v>90</v>
      </c>
      <c r="T40" s="93"/>
      <c r="U40" s="93"/>
      <c r="V40" s="93"/>
      <c r="W40" s="616">
        <v>1</v>
      </c>
      <c r="X40" s="617"/>
      <c r="Y40" s="60" t="s">
        <v>4</v>
      </c>
      <c r="Z40" s="61"/>
      <c r="AA40" s="61"/>
      <c r="AB40" s="61"/>
      <c r="AC40" s="616">
        <v>105</v>
      </c>
      <c r="AD40" s="617"/>
      <c r="AE40" s="104"/>
      <c r="AF40" s="105"/>
      <c r="AG40" s="6"/>
      <c r="AH40" s="16"/>
      <c r="AI40" s="16"/>
      <c r="AJ40" s="16"/>
      <c r="AK40" s="16"/>
      <c r="AL40" s="16"/>
      <c r="AM40" s="16"/>
      <c r="AN40" s="14"/>
      <c r="AO40" s="14"/>
      <c r="AP40" s="14"/>
      <c r="AQ40" s="14"/>
      <c r="AR40" s="14"/>
      <c r="AY40" s="79"/>
      <c r="AZ40" s="79"/>
    </row>
    <row r="41" spans="1:72" s="3" customFormat="1" ht="15.6" customHeight="1" x14ac:dyDescent="0.15">
      <c r="A41" s="49"/>
      <c r="B41" s="634"/>
      <c r="C41" s="635"/>
      <c r="D41" s="620"/>
      <c r="E41" s="621"/>
      <c r="F41" s="621"/>
      <c r="G41" s="621"/>
      <c r="H41" s="59"/>
      <c r="I41" s="60" t="s">
        <v>61</v>
      </c>
      <c r="J41" s="61"/>
      <c r="K41" s="61"/>
      <c r="L41" s="616">
        <v>4</v>
      </c>
      <c r="M41" s="617"/>
      <c r="N41" s="60" t="s">
        <v>0</v>
      </c>
      <c r="O41" s="61"/>
      <c r="P41" s="61"/>
      <c r="Q41" s="616">
        <v>0</v>
      </c>
      <c r="R41" s="617"/>
      <c r="S41" s="92" t="s">
        <v>91</v>
      </c>
      <c r="T41" s="93"/>
      <c r="U41" s="93"/>
      <c r="V41" s="93"/>
      <c r="W41" s="616">
        <v>9</v>
      </c>
      <c r="X41" s="617"/>
      <c r="Y41" s="60" t="s">
        <v>2</v>
      </c>
      <c r="Z41" s="62"/>
      <c r="AA41" s="62"/>
      <c r="AB41" s="62"/>
      <c r="AC41" s="616">
        <v>17</v>
      </c>
      <c r="AD41" s="617"/>
      <c r="AE41" s="104"/>
      <c r="AF41" s="105"/>
      <c r="AG41" s="6"/>
      <c r="AH41" s="16"/>
      <c r="AI41" s="16"/>
      <c r="AJ41" s="643"/>
      <c r="AK41" s="643"/>
      <c r="AL41" s="643"/>
      <c r="AM41" s="643"/>
      <c r="AN41" s="14"/>
      <c r="AO41" s="14"/>
      <c r="AP41" s="14"/>
      <c r="AQ41" s="14"/>
      <c r="AR41" s="14"/>
      <c r="AY41" s="79"/>
      <c r="AZ41" s="79"/>
    </row>
    <row r="42" spans="1:72" s="3" customFormat="1" ht="15.6" customHeight="1" x14ac:dyDescent="0.15">
      <c r="A42" s="49"/>
      <c r="B42" s="634"/>
      <c r="C42" s="635"/>
      <c r="D42" s="620"/>
      <c r="E42" s="621"/>
      <c r="F42" s="621"/>
      <c r="G42" s="621"/>
      <c r="H42" s="59"/>
      <c r="I42" s="60" t="s">
        <v>60</v>
      </c>
      <c r="J42" s="61"/>
      <c r="K42" s="61"/>
      <c r="L42" s="616">
        <v>15</v>
      </c>
      <c r="M42" s="617"/>
      <c r="N42" s="60" t="s">
        <v>4</v>
      </c>
      <c r="O42" s="61"/>
      <c r="P42" s="61"/>
      <c r="Q42" s="616">
        <v>0</v>
      </c>
      <c r="R42" s="617"/>
      <c r="S42" s="92" t="s">
        <v>92</v>
      </c>
      <c r="T42" s="93"/>
      <c r="U42" s="93"/>
      <c r="V42" s="93"/>
      <c r="W42" s="616">
        <v>54</v>
      </c>
      <c r="X42" s="617"/>
      <c r="Y42" s="60" t="s">
        <v>98</v>
      </c>
      <c r="Z42" s="61"/>
      <c r="AA42" s="61"/>
      <c r="AB42" s="61"/>
      <c r="AC42" s="616">
        <v>48</v>
      </c>
      <c r="AD42" s="617"/>
      <c r="AE42" s="104"/>
      <c r="AF42" s="105"/>
      <c r="AG42" s="6"/>
      <c r="AH42" s="16"/>
      <c r="AI42" s="541"/>
      <c r="AJ42" s="16"/>
      <c r="AK42" s="16"/>
      <c r="AL42" s="16"/>
      <c r="AM42" s="16"/>
      <c r="AN42" s="14"/>
      <c r="AO42" s="14"/>
      <c r="AP42" s="14"/>
      <c r="AQ42" s="14"/>
      <c r="AR42" s="14"/>
      <c r="AY42" s="79"/>
      <c r="AZ42" s="79"/>
    </row>
    <row r="43" spans="1:72" s="3" customFormat="1" ht="15.6" customHeight="1" x14ac:dyDescent="0.15">
      <c r="A43" s="49"/>
      <c r="B43" s="634"/>
      <c r="C43" s="635"/>
      <c r="D43" s="620"/>
      <c r="E43" s="621"/>
      <c r="F43" s="621"/>
      <c r="G43" s="621"/>
      <c r="H43" s="59"/>
      <c r="I43" s="60"/>
      <c r="J43" s="61"/>
      <c r="K43" s="61"/>
      <c r="L43" s="61"/>
      <c r="M43" s="63"/>
      <c r="N43" s="60" t="s">
        <v>60</v>
      </c>
      <c r="O43" s="61"/>
      <c r="P43" s="61"/>
      <c r="Q43" s="616">
        <v>7</v>
      </c>
      <c r="R43" s="617"/>
      <c r="S43" s="92" t="s">
        <v>94</v>
      </c>
      <c r="T43" s="93"/>
      <c r="U43" s="93"/>
      <c r="V43" s="93"/>
      <c r="W43" s="616">
        <v>16</v>
      </c>
      <c r="X43" s="617"/>
      <c r="Y43" s="60" t="s">
        <v>99</v>
      </c>
      <c r="Z43" s="61"/>
      <c r="AA43" s="61"/>
      <c r="AB43" s="61"/>
      <c r="AC43" s="618">
        <v>3</v>
      </c>
      <c r="AD43" s="619"/>
      <c r="AE43" s="104"/>
      <c r="AF43" s="105"/>
      <c r="AG43" s="6"/>
      <c r="AH43" s="16"/>
      <c r="AI43" s="541"/>
      <c r="AJ43" s="16"/>
      <c r="AK43" s="16"/>
      <c r="AL43" s="16"/>
      <c r="AM43" s="16"/>
      <c r="AN43" s="14"/>
      <c r="AO43" s="14"/>
      <c r="AP43" s="14"/>
      <c r="AQ43" s="14"/>
      <c r="AR43" s="14"/>
      <c r="AY43" s="79"/>
      <c r="AZ43" s="79"/>
    </row>
    <row r="44" spans="1:72" s="3" customFormat="1" ht="15.6" customHeight="1" x14ac:dyDescent="0.15">
      <c r="A44" s="49"/>
      <c r="B44" s="634"/>
      <c r="C44" s="635"/>
      <c r="D44" s="92"/>
      <c r="E44" s="93"/>
      <c r="F44" s="93"/>
      <c r="G44" s="93"/>
      <c r="H44" s="59"/>
      <c r="I44" s="60"/>
      <c r="J44" s="61"/>
      <c r="K44" s="61"/>
      <c r="L44" s="61"/>
      <c r="M44" s="63"/>
      <c r="N44" s="60"/>
      <c r="O44" s="61"/>
      <c r="P44" s="61"/>
      <c r="Q44" s="90"/>
      <c r="R44" s="91"/>
      <c r="S44" s="92" t="s">
        <v>93</v>
      </c>
      <c r="T44" s="93"/>
      <c r="U44" s="93"/>
      <c r="V44" s="93"/>
      <c r="W44" s="616">
        <v>0</v>
      </c>
      <c r="X44" s="617"/>
      <c r="Y44" s="60" t="s">
        <v>100</v>
      </c>
      <c r="Z44" s="61"/>
      <c r="AA44" s="61"/>
      <c r="AB44" s="61"/>
      <c r="AC44" s="618">
        <v>12</v>
      </c>
      <c r="AD44" s="619"/>
      <c r="AE44" s="104"/>
      <c r="AF44" s="105"/>
      <c r="AG44" s="6"/>
      <c r="AH44" s="16"/>
      <c r="AI44" s="541"/>
      <c r="AJ44" s="16"/>
      <c r="AK44" s="16"/>
      <c r="AL44" s="16"/>
      <c r="AM44" s="16"/>
      <c r="AN44" s="14"/>
      <c r="AO44" s="14"/>
      <c r="AP44" s="14"/>
      <c r="AQ44" s="14"/>
      <c r="AR44" s="14"/>
      <c r="AY44" s="79"/>
      <c r="AZ44" s="79"/>
    </row>
    <row r="45" spans="1:72" s="3" customFormat="1" ht="15.6" customHeight="1" x14ac:dyDescent="0.15">
      <c r="A45" s="49"/>
      <c r="B45" s="634"/>
      <c r="C45" s="635"/>
      <c r="D45" s="92"/>
      <c r="E45" s="93"/>
      <c r="F45" s="93"/>
      <c r="G45" s="93"/>
      <c r="H45" s="59"/>
      <c r="I45" s="60"/>
      <c r="J45" s="61"/>
      <c r="K45" s="61"/>
      <c r="L45" s="61"/>
      <c r="M45" s="63"/>
      <c r="N45" s="60"/>
      <c r="O45" s="61"/>
      <c r="P45" s="61"/>
      <c r="Q45" s="90"/>
      <c r="R45" s="91"/>
      <c r="S45" s="92" t="s">
        <v>95</v>
      </c>
      <c r="T45" s="93"/>
      <c r="U45" s="93"/>
      <c r="V45" s="93"/>
      <c r="W45" s="616">
        <v>29</v>
      </c>
      <c r="X45" s="617"/>
      <c r="Y45" s="60" t="s">
        <v>101</v>
      </c>
      <c r="Z45" s="61"/>
      <c r="AA45" s="61"/>
      <c r="AB45" s="61"/>
      <c r="AC45" s="618">
        <v>4</v>
      </c>
      <c r="AD45" s="619"/>
      <c r="AE45" s="104"/>
      <c r="AF45" s="105"/>
      <c r="AG45" s="6"/>
      <c r="AH45" s="16"/>
      <c r="AI45" s="541"/>
      <c r="AJ45" s="16"/>
      <c r="AK45" s="16"/>
      <c r="AL45" s="16"/>
      <c r="AM45" s="16"/>
      <c r="AN45" s="14"/>
      <c r="AO45" s="14"/>
      <c r="AP45" s="14"/>
      <c r="AQ45" s="14"/>
      <c r="AR45" s="14"/>
      <c r="AY45" s="79"/>
      <c r="AZ45" s="79"/>
    </row>
    <row r="46" spans="1:72" s="3" customFormat="1" ht="15.6" customHeight="1" x14ac:dyDescent="0.15">
      <c r="A46" s="49"/>
      <c r="B46" s="634"/>
      <c r="C46" s="635"/>
      <c r="D46" s="92"/>
      <c r="E46" s="93"/>
      <c r="F46" s="93"/>
      <c r="G46" s="93"/>
      <c r="H46" s="59"/>
      <c r="I46" s="60"/>
      <c r="J46" s="61"/>
      <c r="K46" s="61"/>
      <c r="L46" s="61"/>
      <c r="M46" s="63"/>
      <c r="N46" s="60"/>
      <c r="O46" s="61"/>
      <c r="P46" s="61"/>
      <c r="Q46" s="90"/>
      <c r="R46" s="91"/>
      <c r="S46" s="92" t="s">
        <v>96</v>
      </c>
      <c r="T46" s="93"/>
      <c r="U46" s="93"/>
      <c r="V46" s="93"/>
      <c r="W46" s="616">
        <v>1</v>
      </c>
      <c r="X46" s="617"/>
      <c r="Y46" s="60" t="s">
        <v>103</v>
      </c>
      <c r="Z46" s="61"/>
      <c r="AA46" s="61"/>
      <c r="AB46" s="61"/>
      <c r="AC46" s="618">
        <v>22</v>
      </c>
      <c r="AD46" s="619"/>
      <c r="AE46" s="104"/>
      <c r="AF46" s="105"/>
      <c r="AG46" s="6"/>
      <c r="AH46" s="16"/>
      <c r="AI46" s="541"/>
      <c r="AJ46" s="16"/>
      <c r="AK46" s="16"/>
      <c r="AL46" s="16"/>
      <c r="AM46" s="16"/>
      <c r="AN46" s="14"/>
      <c r="AO46" s="14"/>
      <c r="AP46" s="14"/>
      <c r="AQ46" s="14"/>
      <c r="AR46" s="14"/>
      <c r="AY46" s="79"/>
      <c r="AZ46" s="79"/>
    </row>
    <row r="47" spans="1:72" s="3" customFormat="1" ht="15.6" customHeight="1" x14ac:dyDescent="0.15">
      <c r="A47" s="49"/>
      <c r="B47" s="634"/>
      <c r="C47" s="635"/>
      <c r="D47" s="92"/>
      <c r="E47" s="93"/>
      <c r="F47" s="93"/>
      <c r="G47" s="93"/>
      <c r="H47" s="59"/>
      <c r="I47" s="60"/>
      <c r="J47" s="61"/>
      <c r="K47" s="61"/>
      <c r="L47" s="61"/>
      <c r="M47" s="63"/>
      <c r="N47" s="60"/>
      <c r="O47" s="61"/>
      <c r="P47" s="61"/>
      <c r="Q47" s="90"/>
      <c r="R47" s="91"/>
      <c r="S47" s="92" t="s">
        <v>80</v>
      </c>
      <c r="T47" s="93"/>
      <c r="U47" s="93"/>
      <c r="V47" s="93"/>
      <c r="W47" s="616">
        <v>112</v>
      </c>
      <c r="X47" s="617"/>
      <c r="Y47" s="60" t="s">
        <v>104</v>
      </c>
      <c r="Z47" s="61"/>
      <c r="AA47" s="61"/>
      <c r="AB47" s="61"/>
      <c r="AC47" s="618">
        <v>1</v>
      </c>
      <c r="AD47" s="619"/>
      <c r="AE47" s="104"/>
      <c r="AF47" s="105"/>
      <c r="AG47" s="6"/>
      <c r="AH47" s="16"/>
      <c r="AI47" s="16"/>
      <c r="AJ47" s="16"/>
      <c r="AK47" s="16"/>
      <c r="AL47" s="16"/>
      <c r="AM47" s="16"/>
      <c r="AN47" s="14"/>
      <c r="AO47" s="14"/>
      <c r="AP47" s="14"/>
      <c r="AQ47" s="14"/>
      <c r="AR47" s="14"/>
      <c r="AY47" s="79"/>
      <c r="AZ47" s="79"/>
    </row>
    <row r="48" spans="1:72" s="3" customFormat="1" ht="15.6" customHeight="1" x14ac:dyDescent="0.15">
      <c r="A48" s="49"/>
      <c r="B48" s="634"/>
      <c r="C48" s="635"/>
      <c r="D48" s="92"/>
      <c r="E48" s="93"/>
      <c r="F48" s="93"/>
      <c r="G48" s="93"/>
      <c r="H48" s="59"/>
      <c r="I48" s="60"/>
      <c r="J48" s="61"/>
      <c r="K48" s="61"/>
      <c r="L48" s="61"/>
      <c r="M48" s="63"/>
      <c r="N48" s="60"/>
      <c r="O48" s="61"/>
      <c r="P48" s="61"/>
      <c r="Q48" s="90"/>
      <c r="R48" s="91"/>
      <c r="S48" s="92" t="s">
        <v>102</v>
      </c>
      <c r="T48" s="93"/>
      <c r="U48" s="93"/>
      <c r="V48" s="93"/>
      <c r="W48" s="616">
        <v>3</v>
      </c>
      <c r="X48" s="617"/>
      <c r="Y48" s="60" t="s">
        <v>105</v>
      </c>
      <c r="Z48" s="61"/>
      <c r="AA48" s="61"/>
      <c r="AB48" s="61"/>
      <c r="AC48" s="618">
        <v>45</v>
      </c>
      <c r="AD48" s="619"/>
      <c r="AE48" s="104"/>
      <c r="AF48" s="105"/>
      <c r="AG48" s="6"/>
      <c r="AH48" s="16"/>
      <c r="AI48" s="16"/>
      <c r="AJ48" s="16"/>
      <c r="AK48" s="16"/>
      <c r="AL48" s="16"/>
      <c r="AM48" s="16"/>
      <c r="AN48" s="14"/>
      <c r="AO48" s="14"/>
      <c r="AP48" s="14"/>
      <c r="AQ48" s="14"/>
      <c r="AR48" s="14"/>
      <c r="AY48" s="79"/>
      <c r="AZ48" s="79"/>
    </row>
    <row r="49" spans="1:52" s="3" customFormat="1" ht="15.6" customHeight="1" x14ac:dyDescent="0.15">
      <c r="A49" s="49"/>
      <c r="B49" s="636"/>
      <c r="C49" s="637"/>
      <c r="D49" s="628"/>
      <c r="E49" s="629"/>
      <c r="F49" s="629"/>
      <c r="G49" s="629"/>
      <c r="H49" s="64"/>
      <c r="I49" s="65"/>
      <c r="J49" s="66"/>
      <c r="K49" s="66"/>
      <c r="L49" s="66"/>
      <c r="M49" s="67"/>
      <c r="N49" s="65"/>
      <c r="O49" s="66"/>
      <c r="P49" s="66"/>
      <c r="Q49" s="66"/>
      <c r="R49" s="67"/>
      <c r="S49" s="96" t="s">
        <v>24</v>
      </c>
      <c r="T49" s="97"/>
      <c r="U49" s="97"/>
      <c r="V49" s="97"/>
      <c r="W49" s="630">
        <v>48</v>
      </c>
      <c r="X49" s="631"/>
      <c r="Y49" s="65" t="s">
        <v>24</v>
      </c>
      <c r="Z49" s="68"/>
      <c r="AA49" s="66"/>
      <c r="AB49" s="66"/>
      <c r="AC49" s="630">
        <v>29</v>
      </c>
      <c r="AD49" s="631"/>
      <c r="AE49" s="108"/>
      <c r="AF49" s="109"/>
      <c r="AG49" s="8"/>
      <c r="AH49" s="16"/>
      <c r="AI49" s="16"/>
      <c r="AJ49" s="16"/>
      <c r="AK49" s="16"/>
      <c r="AL49" s="16"/>
      <c r="AM49" s="16"/>
      <c r="AN49" s="14"/>
      <c r="AO49" s="14"/>
      <c r="AP49" s="14"/>
      <c r="AQ49" s="14"/>
      <c r="AR49" s="14"/>
      <c r="AY49" s="79"/>
      <c r="AZ49" s="79"/>
    </row>
    <row r="50" spans="1:52" s="3" customFormat="1" ht="15.6" customHeight="1" x14ac:dyDescent="0.15">
      <c r="A50" s="49"/>
      <c r="B50" s="110"/>
      <c r="C50" s="110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13"/>
      <c r="Q50" s="113"/>
      <c r="R50" s="110"/>
      <c r="S50" s="105"/>
      <c r="T50" s="105"/>
      <c r="U50" s="105"/>
      <c r="V50" s="105"/>
      <c r="W50" s="111"/>
      <c r="X50" s="111"/>
      <c r="Y50" s="113"/>
      <c r="Z50" s="37"/>
      <c r="AA50" s="113"/>
      <c r="AB50" s="113"/>
      <c r="AC50" s="111"/>
      <c r="AD50" s="111"/>
      <c r="AE50" s="105"/>
      <c r="AF50" s="105"/>
      <c r="AG50" s="105"/>
      <c r="AH50" s="16"/>
      <c r="AI50" s="16"/>
      <c r="AJ50" s="16"/>
      <c r="AK50" s="16"/>
      <c r="AL50" s="16"/>
      <c r="AM50" s="16"/>
      <c r="AN50" s="14"/>
      <c r="AO50" s="14"/>
      <c r="AP50" s="14"/>
      <c r="AQ50" s="14"/>
      <c r="AR50" s="14"/>
      <c r="AY50" s="79"/>
      <c r="AZ50" s="79"/>
    </row>
    <row r="51" spans="1:52" s="38" customFormat="1" ht="15.6" customHeight="1" x14ac:dyDescent="0.15">
      <c r="A51" s="53"/>
      <c r="B51" s="41"/>
      <c r="L51" s="42"/>
      <c r="M51" s="42"/>
      <c r="N51" s="42"/>
      <c r="O51" s="42"/>
      <c r="P51" s="43"/>
      <c r="Q51" s="43"/>
      <c r="R51" s="41"/>
      <c r="S51" s="42"/>
      <c r="T51" s="42"/>
      <c r="U51" s="42"/>
      <c r="V51" s="42"/>
      <c r="W51" s="111"/>
      <c r="X51" s="111"/>
      <c r="Y51" s="43"/>
      <c r="Z51" s="44"/>
      <c r="AA51" s="43"/>
      <c r="AB51" s="43"/>
      <c r="AC51" s="111"/>
      <c r="AD51" s="111"/>
      <c r="AE51" s="42"/>
      <c r="AF51" s="42"/>
      <c r="AG51" s="42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Y51" s="79"/>
      <c r="AZ51" s="79"/>
    </row>
    <row r="52" spans="1:52" s="3" customFormat="1" ht="15.6" customHeight="1" x14ac:dyDescent="0.15">
      <c r="A52" s="49"/>
      <c r="B52" s="110"/>
      <c r="C52" s="110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13"/>
      <c r="Q52" s="113"/>
      <c r="R52" s="110"/>
      <c r="S52" s="105"/>
      <c r="T52" s="105"/>
      <c r="U52" s="105"/>
      <c r="V52" s="105"/>
      <c r="W52" s="111"/>
      <c r="X52" s="111"/>
      <c r="Y52" s="113"/>
      <c r="Z52" s="37"/>
      <c r="AA52" s="113"/>
      <c r="AB52" s="113"/>
      <c r="AC52" s="111"/>
      <c r="AD52" s="111"/>
      <c r="AE52" s="105"/>
      <c r="AF52" s="105"/>
      <c r="AG52" s="105"/>
      <c r="AH52" s="16"/>
      <c r="AI52" s="16"/>
      <c r="AJ52" s="16"/>
      <c r="AK52" s="16"/>
      <c r="AL52" s="16"/>
      <c r="AM52" s="16"/>
      <c r="AN52" s="14"/>
      <c r="AO52" s="14"/>
      <c r="AP52" s="14"/>
      <c r="AQ52" s="14"/>
      <c r="AR52" s="14"/>
      <c r="AY52" s="79"/>
      <c r="AZ52" s="79"/>
    </row>
    <row r="53" spans="1:52" s="3" customFormat="1" ht="15.6" customHeight="1" x14ac:dyDescent="0.15">
      <c r="A53" s="49"/>
      <c r="B53" s="110"/>
      <c r="C53" s="110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13"/>
      <c r="Q53" s="113"/>
      <c r="R53" s="110"/>
      <c r="S53" s="105"/>
      <c r="T53" s="105"/>
      <c r="U53" s="105"/>
      <c r="V53" s="105"/>
      <c r="W53" s="111"/>
      <c r="X53" s="111"/>
      <c r="Y53" s="113"/>
      <c r="Z53" s="37"/>
      <c r="AA53" s="113"/>
      <c r="AB53" s="113"/>
      <c r="AC53" s="111"/>
      <c r="AD53" s="111"/>
      <c r="AE53" s="105"/>
      <c r="AF53" s="105"/>
      <c r="AG53" s="105"/>
      <c r="AH53" s="16"/>
      <c r="AI53" s="16"/>
      <c r="AJ53" s="16"/>
      <c r="AK53" s="16"/>
      <c r="AL53" s="16"/>
      <c r="AM53" s="16"/>
      <c r="AN53" s="14"/>
      <c r="AO53" s="14"/>
      <c r="AP53" s="14"/>
      <c r="AQ53" s="14"/>
      <c r="AR53" s="14"/>
      <c r="AY53" s="79"/>
      <c r="AZ53" s="79"/>
    </row>
    <row r="54" spans="1:52" s="3" customFormat="1" ht="15.6" customHeight="1" x14ac:dyDescent="0.15">
      <c r="A54" s="49"/>
      <c r="B54" s="110"/>
      <c r="C54" s="110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13"/>
      <c r="Q54" s="113"/>
      <c r="R54" s="110"/>
      <c r="S54" s="105"/>
      <c r="T54" s="105"/>
      <c r="U54" s="105"/>
      <c r="V54" s="105"/>
      <c r="W54" s="111"/>
      <c r="X54" s="111"/>
      <c r="Y54" s="113"/>
      <c r="Z54" s="37"/>
      <c r="AA54" s="113"/>
      <c r="AB54" s="113"/>
      <c r="AC54" s="111"/>
      <c r="AD54" s="111"/>
      <c r="AE54" s="105"/>
      <c r="AF54" s="105"/>
      <c r="AG54" s="105"/>
      <c r="AH54" s="16"/>
      <c r="AI54" s="16"/>
      <c r="AJ54" s="16"/>
      <c r="AK54" s="16"/>
      <c r="AL54" s="16"/>
      <c r="AM54" s="16"/>
      <c r="AN54" s="14"/>
      <c r="AO54" s="14"/>
      <c r="AP54" s="14"/>
      <c r="AQ54" s="14"/>
      <c r="AR54" s="14"/>
      <c r="AY54" s="79"/>
      <c r="AZ54" s="79"/>
    </row>
    <row r="55" spans="1:52" s="3" customFormat="1" ht="15.6" customHeight="1" x14ac:dyDescent="0.15">
      <c r="A55" s="50" t="s">
        <v>125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4"/>
      <c r="AO55" s="14"/>
      <c r="AP55" s="14"/>
      <c r="AQ55" s="14"/>
      <c r="AR55" s="14"/>
      <c r="AY55" s="79"/>
      <c r="AZ55" s="79"/>
    </row>
    <row r="56" spans="1:52" s="3" customFormat="1" ht="15.6" customHeight="1" x14ac:dyDescent="0.15">
      <c r="A56" s="54"/>
      <c r="B56" s="644" t="s">
        <v>25</v>
      </c>
      <c r="C56" s="645"/>
      <c r="D56" s="645"/>
      <c r="E56" s="646"/>
      <c r="F56" s="647" t="s">
        <v>26</v>
      </c>
      <c r="G56" s="647"/>
      <c r="H56" s="647"/>
      <c r="I56" s="647"/>
      <c r="J56" s="647" t="s">
        <v>83</v>
      </c>
      <c r="K56" s="647"/>
      <c r="L56" s="647"/>
      <c r="M56" s="647"/>
      <c r="N56" s="647" t="s">
        <v>27</v>
      </c>
      <c r="O56" s="647"/>
      <c r="P56" s="647"/>
      <c r="Q56" s="647"/>
      <c r="R56" s="647" t="s">
        <v>84</v>
      </c>
      <c r="S56" s="647"/>
      <c r="T56" s="647"/>
      <c r="U56" s="647"/>
      <c r="V56" s="647" t="s">
        <v>85</v>
      </c>
      <c r="W56" s="647"/>
      <c r="X56" s="647"/>
      <c r="Y56" s="647"/>
      <c r="Z56" s="647" t="s">
        <v>28</v>
      </c>
      <c r="AA56" s="647"/>
      <c r="AB56" s="647"/>
      <c r="AC56" s="647"/>
      <c r="AD56" s="644" t="s">
        <v>29</v>
      </c>
      <c r="AE56" s="645"/>
      <c r="AF56" s="645"/>
      <c r="AG56" s="646"/>
      <c r="AH56" s="16"/>
      <c r="AI56" s="16"/>
      <c r="AJ56" s="16"/>
      <c r="AK56" s="16"/>
      <c r="AL56" s="16"/>
      <c r="AM56" s="16"/>
      <c r="AN56" s="14"/>
      <c r="AO56" s="14"/>
      <c r="AP56" s="14"/>
      <c r="AQ56" s="14"/>
      <c r="AR56" s="14"/>
      <c r="AY56" s="79"/>
      <c r="AZ56" s="79"/>
    </row>
    <row r="57" spans="1:52" s="14" customFormat="1" ht="15.6" customHeight="1" x14ac:dyDescent="0.15">
      <c r="B57" s="701" t="s">
        <v>166</v>
      </c>
      <c r="C57" s="702"/>
      <c r="D57" s="702"/>
      <c r="E57" s="703"/>
      <c r="F57" s="829" t="s">
        <v>9</v>
      </c>
      <c r="G57" s="830"/>
      <c r="H57" s="830"/>
      <c r="I57" s="831"/>
      <c r="J57" s="613">
        <v>1290</v>
      </c>
      <c r="K57" s="614"/>
      <c r="L57" s="614"/>
      <c r="M57" s="615"/>
      <c r="N57" s="613">
        <v>116</v>
      </c>
      <c r="O57" s="614"/>
      <c r="P57" s="614"/>
      <c r="Q57" s="615"/>
      <c r="R57" s="613">
        <v>367</v>
      </c>
      <c r="S57" s="614"/>
      <c r="T57" s="614"/>
      <c r="U57" s="615"/>
      <c r="V57" s="613">
        <v>275</v>
      </c>
      <c r="W57" s="614"/>
      <c r="X57" s="614"/>
      <c r="Y57" s="615"/>
      <c r="Z57" s="613">
        <v>516</v>
      </c>
      <c r="AA57" s="614"/>
      <c r="AB57" s="614"/>
      <c r="AC57" s="615"/>
      <c r="AD57" s="613">
        <f>SUM(J57:AC57)</f>
        <v>2564</v>
      </c>
      <c r="AE57" s="614"/>
      <c r="AF57" s="614"/>
      <c r="AG57" s="615"/>
      <c r="AQ57" s="85"/>
      <c r="AR57" s="85"/>
      <c r="AY57" s="80"/>
      <c r="AZ57" s="80"/>
    </row>
    <row r="58" spans="1:52" s="14" customFormat="1" ht="15.6" customHeight="1" x14ac:dyDescent="0.15">
      <c r="B58" s="711"/>
      <c r="C58" s="712"/>
      <c r="D58" s="712"/>
      <c r="E58" s="713"/>
      <c r="F58" s="832" t="s">
        <v>30</v>
      </c>
      <c r="G58" s="833"/>
      <c r="H58" s="833"/>
      <c r="I58" s="834"/>
      <c r="J58" s="835">
        <f>J57/$AD$57</f>
        <v>0.50312012480499224</v>
      </c>
      <c r="K58" s="836"/>
      <c r="L58" s="836"/>
      <c r="M58" s="837"/>
      <c r="N58" s="835">
        <f>N57/$AD$57</f>
        <v>4.5241809672386897E-2</v>
      </c>
      <c r="O58" s="836"/>
      <c r="P58" s="836"/>
      <c r="Q58" s="837"/>
      <c r="R58" s="835">
        <f>R57/$AD$57</f>
        <v>0.14313572542901717</v>
      </c>
      <c r="S58" s="836"/>
      <c r="T58" s="836"/>
      <c r="U58" s="837"/>
      <c r="V58" s="835">
        <f>V57/AD57</f>
        <v>0.10725429017160687</v>
      </c>
      <c r="W58" s="836"/>
      <c r="X58" s="836"/>
      <c r="Y58" s="837"/>
      <c r="Z58" s="835">
        <v>0.20200000000000001</v>
      </c>
      <c r="AA58" s="836"/>
      <c r="AB58" s="836"/>
      <c r="AC58" s="837"/>
      <c r="AD58" s="835">
        <v>1</v>
      </c>
      <c r="AE58" s="836"/>
      <c r="AF58" s="836"/>
      <c r="AG58" s="837"/>
      <c r="AJ58" s="84"/>
      <c r="AQ58" s="653"/>
      <c r="AR58" s="654"/>
      <c r="AY58" s="80"/>
      <c r="AZ58" s="80"/>
    </row>
    <row r="59" spans="1:52" s="14" customFormat="1" ht="15.6" customHeight="1" x14ac:dyDescent="0.15">
      <c r="B59" s="701" t="s">
        <v>167</v>
      </c>
      <c r="C59" s="702"/>
      <c r="D59" s="702"/>
      <c r="E59" s="703"/>
      <c r="F59" s="829" t="s">
        <v>9</v>
      </c>
      <c r="G59" s="830"/>
      <c r="H59" s="830"/>
      <c r="I59" s="831"/>
      <c r="J59" s="613">
        <v>1252</v>
      </c>
      <c r="K59" s="614"/>
      <c r="L59" s="614"/>
      <c r="M59" s="615"/>
      <c r="N59" s="613">
        <v>124</v>
      </c>
      <c r="O59" s="614"/>
      <c r="P59" s="614"/>
      <c r="Q59" s="615"/>
      <c r="R59" s="613">
        <v>347</v>
      </c>
      <c r="S59" s="614"/>
      <c r="T59" s="614"/>
      <c r="U59" s="615"/>
      <c r="V59" s="613">
        <v>300</v>
      </c>
      <c r="W59" s="614"/>
      <c r="X59" s="614"/>
      <c r="Y59" s="615"/>
      <c r="Z59" s="613">
        <v>500</v>
      </c>
      <c r="AA59" s="614"/>
      <c r="AB59" s="614"/>
      <c r="AC59" s="615"/>
      <c r="AD59" s="613">
        <f>SUM(J59:AC59)</f>
        <v>2523</v>
      </c>
      <c r="AE59" s="614"/>
      <c r="AF59" s="614"/>
      <c r="AG59" s="615"/>
      <c r="AJ59" s="84"/>
      <c r="AQ59" s="654"/>
      <c r="AR59" s="654"/>
      <c r="AY59" s="80"/>
      <c r="AZ59" s="80"/>
    </row>
    <row r="60" spans="1:52" s="14" customFormat="1" ht="15.6" customHeight="1" x14ac:dyDescent="0.15">
      <c r="B60" s="711"/>
      <c r="C60" s="712"/>
      <c r="D60" s="712"/>
      <c r="E60" s="713"/>
      <c r="F60" s="832" t="s">
        <v>30</v>
      </c>
      <c r="G60" s="833"/>
      <c r="H60" s="833"/>
      <c r="I60" s="834"/>
      <c r="J60" s="835">
        <f>J59/AD59</f>
        <v>0.49623464130003964</v>
      </c>
      <c r="K60" s="836"/>
      <c r="L60" s="836"/>
      <c r="M60" s="837"/>
      <c r="N60" s="835">
        <f>N59/AD59</f>
        <v>4.9147839873166864E-2</v>
      </c>
      <c r="O60" s="836"/>
      <c r="P60" s="836"/>
      <c r="Q60" s="837"/>
      <c r="R60" s="835">
        <f>R59/AD59</f>
        <v>0.13753468093539437</v>
      </c>
      <c r="S60" s="836"/>
      <c r="T60" s="836"/>
      <c r="U60" s="837"/>
      <c r="V60" s="835">
        <f>V59/AD59</f>
        <v>0.11890606420927467</v>
      </c>
      <c r="W60" s="836"/>
      <c r="X60" s="836"/>
      <c r="Y60" s="837"/>
      <c r="Z60" s="835">
        <v>0.19800000000000001</v>
      </c>
      <c r="AA60" s="836"/>
      <c r="AB60" s="836"/>
      <c r="AC60" s="837"/>
      <c r="AD60" s="835">
        <v>1</v>
      </c>
      <c r="AE60" s="836"/>
      <c r="AF60" s="836"/>
      <c r="AG60" s="837"/>
      <c r="AJ60" s="84"/>
      <c r="AQ60" s="654"/>
      <c r="AR60" s="654"/>
      <c r="AY60" s="80"/>
      <c r="AZ60" s="80"/>
    </row>
    <row r="61" spans="1:52" s="14" customFormat="1" ht="15.6" customHeight="1" x14ac:dyDescent="0.15">
      <c r="A61" s="16"/>
      <c r="B61" s="667" t="s">
        <v>31</v>
      </c>
      <c r="C61" s="668"/>
      <c r="D61" s="668"/>
      <c r="E61" s="669"/>
      <c r="F61" s="673" t="s">
        <v>9</v>
      </c>
      <c r="G61" s="673"/>
      <c r="H61" s="673"/>
      <c r="I61" s="673"/>
      <c r="J61" s="674">
        <f>J57-J59</f>
        <v>38</v>
      </c>
      <c r="K61" s="674"/>
      <c r="L61" s="674"/>
      <c r="M61" s="674"/>
      <c r="N61" s="674">
        <f>N57-N59</f>
        <v>-8</v>
      </c>
      <c r="O61" s="674"/>
      <c r="P61" s="674"/>
      <c r="Q61" s="674"/>
      <c r="R61" s="674">
        <f>R57-R59</f>
        <v>20</v>
      </c>
      <c r="S61" s="674"/>
      <c r="T61" s="674"/>
      <c r="U61" s="674"/>
      <c r="V61" s="674">
        <f>V57-V59</f>
        <v>-25</v>
      </c>
      <c r="W61" s="674"/>
      <c r="X61" s="674"/>
      <c r="Y61" s="674"/>
      <c r="Z61" s="674">
        <f>Z57-Z59</f>
        <v>16</v>
      </c>
      <c r="AA61" s="674"/>
      <c r="AB61" s="674"/>
      <c r="AC61" s="674"/>
      <c r="AD61" s="675">
        <f>SUM(J61:AC61)</f>
        <v>41</v>
      </c>
      <c r="AE61" s="676"/>
      <c r="AF61" s="676"/>
      <c r="AG61" s="677"/>
      <c r="AH61" s="16"/>
      <c r="AI61" s="16"/>
      <c r="AJ61" s="16"/>
      <c r="AK61" s="16"/>
      <c r="AL61" s="16"/>
      <c r="AM61" s="16"/>
      <c r="AQ61" s="654"/>
      <c r="AR61" s="654"/>
      <c r="AY61" s="80"/>
      <c r="AZ61" s="80"/>
    </row>
    <row r="62" spans="1:52" s="14" customFormat="1" ht="15.6" customHeight="1" x14ac:dyDescent="0.15">
      <c r="A62" s="16"/>
      <c r="B62" s="670"/>
      <c r="C62" s="671"/>
      <c r="D62" s="671"/>
      <c r="E62" s="672"/>
      <c r="F62" s="692" t="s">
        <v>32</v>
      </c>
      <c r="G62" s="692"/>
      <c r="H62" s="692"/>
      <c r="I62" s="692"/>
      <c r="J62" s="693">
        <f>J57/J59</f>
        <v>1.0303514376996805</v>
      </c>
      <c r="K62" s="693"/>
      <c r="L62" s="693"/>
      <c r="M62" s="693"/>
      <c r="N62" s="693">
        <f>N57/N59</f>
        <v>0.93548387096774188</v>
      </c>
      <c r="O62" s="693"/>
      <c r="P62" s="693"/>
      <c r="Q62" s="693"/>
      <c r="R62" s="693">
        <f>R57/R59</f>
        <v>1.0576368876080691</v>
      </c>
      <c r="S62" s="693"/>
      <c r="T62" s="693"/>
      <c r="U62" s="693"/>
      <c r="V62" s="693">
        <f>V57/V59</f>
        <v>0.91666666666666663</v>
      </c>
      <c r="W62" s="693"/>
      <c r="X62" s="693"/>
      <c r="Y62" s="693"/>
      <c r="Z62" s="693">
        <f>Z57/Z59</f>
        <v>1.032</v>
      </c>
      <c r="AA62" s="693"/>
      <c r="AB62" s="693"/>
      <c r="AC62" s="693"/>
      <c r="AD62" s="694">
        <f>AD57/AD59</f>
        <v>1.0162504954419342</v>
      </c>
      <c r="AE62" s="695"/>
      <c r="AF62" s="695"/>
      <c r="AG62" s="696"/>
      <c r="AH62" s="16"/>
      <c r="AI62" s="16"/>
      <c r="AJ62" s="16"/>
      <c r="AK62" s="16"/>
      <c r="AL62" s="16"/>
      <c r="AM62" s="16"/>
      <c r="AQ62" s="654"/>
      <c r="AR62" s="654"/>
      <c r="AY62" s="80"/>
      <c r="AZ62" s="80"/>
    </row>
    <row r="63" spans="1:52" s="3" customFormat="1" ht="15.6" customHeight="1" x14ac:dyDescent="0.15">
      <c r="A63" s="49"/>
      <c r="B63" s="110"/>
      <c r="C63" s="110"/>
      <c r="D63" s="105"/>
      <c r="E63" s="105"/>
      <c r="F63" s="105"/>
      <c r="G63" s="105"/>
      <c r="H63" s="99"/>
      <c r="I63" s="113"/>
      <c r="J63" s="113"/>
      <c r="K63" s="113"/>
      <c r="L63" s="113"/>
      <c r="M63" s="110"/>
      <c r="N63" s="113"/>
      <c r="O63" s="113"/>
      <c r="P63" s="113"/>
      <c r="Q63" s="113"/>
      <c r="R63" s="110"/>
      <c r="S63" s="105"/>
      <c r="T63" s="105"/>
      <c r="U63" s="105"/>
      <c r="V63" s="105"/>
      <c r="W63" s="111"/>
      <c r="X63" s="111"/>
      <c r="Y63" s="113"/>
      <c r="Z63" s="37"/>
      <c r="AA63" s="113"/>
      <c r="AB63" s="113"/>
      <c r="AC63" s="111"/>
      <c r="AD63" s="111"/>
      <c r="AE63" s="105"/>
      <c r="AF63" s="105"/>
      <c r="AG63" s="105"/>
      <c r="AH63" s="16"/>
      <c r="AI63" s="16"/>
      <c r="AJ63" s="16"/>
      <c r="AK63" s="16"/>
      <c r="AL63" s="16"/>
      <c r="AM63" s="16"/>
      <c r="AN63" s="14"/>
      <c r="AO63" s="14"/>
      <c r="AP63" s="14"/>
      <c r="AQ63" s="654"/>
      <c r="AR63" s="654"/>
      <c r="AY63" s="79"/>
      <c r="AZ63" s="79"/>
    </row>
    <row r="64" spans="1:52" s="3" customFormat="1" ht="15.6" customHeight="1" x14ac:dyDescent="0.15">
      <c r="A64" s="56" t="s">
        <v>110</v>
      </c>
      <c r="B64" s="24"/>
      <c r="C64" s="24"/>
      <c r="D64" s="24"/>
      <c r="E64" s="24"/>
      <c r="F64" s="24"/>
      <c r="G64" s="78" t="s">
        <v>142</v>
      </c>
      <c r="H64" s="45"/>
      <c r="I64" s="45"/>
      <c r="J64" s="45"/>
      <c r="K64" s="45"/>
      <c r="L64" s="45"/>
      <c r="M64" s="45"/>
      <c r="N64" s="45"/>
      <c r="O64" s="36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89" t="s">
        <v>40</v>
      </c>
      <c r="AH64" s="16"/>
      <c r="AI64" s="16"/>
      <c r="AJ64" s="16"/>
      <c r="AK64" s="16"/>
      <c r="AL64" s="16"/>
      <c r="AM64" s="16"/>
      <c r="AN64" s="16"/>
      <c r="AO64" s="16"/>
      <c r="AP64" s="16"/>
      <c r="AQ64" s="654"/>
      <c r="AR64" s="654"/>
      <c r="AS64" s="16"/>
      <c r="AT64" s="16"/>
      <c r="AU64" s="16"/>
      <c r="AY64" s="79"/>
      <c r="AZ64" s="79"/>
    </row>
    <row r="65" spans="1:52" s="3" customFormat="1" ht="15.6" customHeight="1" x14ac:dyDescent="0.15">
      <c r="A65" s="49"/>
      <c r="B65" s="678" t="s">
        <v>25</v>
      </c>
      <c r="C65" s="679"/>
      <c r="D65" s="680"/>
      <c r="E65" s="684" t="s">
        <v>41</v>
      </c>
      <c r="F65" s="685"/>
      <c r="G65" s="686"/>
      <c r="H65" s="684" t="s">
        <v>42</v>
      </c>
      <c r="I65" s="685"/>
      <c r="J65" s="686"/>
      <c r="K65" s="684" t="s">
        <v>43</v>
      </c>
      <c r="L65" s="685"/>
      <c r="M65" s="690" t="s">
        <v>44</v>
      </c>
      <c r="N65" s="690"/>
      <c r="O65" s="690" t="s">
        <v>45</v>
      </c>
      <c r="P65" s="690"/>
      <c r="Q65" s="690"/>
      <c r="R65" s="684" t="s">
        <v>46</v>
      </c>
      <c r="S65" s="686"/>
      <c r="T65" s="684" t="s">
        <v>47</v>
      </c>
      <c r="U65" s="686"/>
      <c r="V65" s="690" t="s">
        <v>48</v>
      </c>
      <c r="W65" s="690"/>
      <c r="X65" s="690" t="s">
        <v>112</v>
      </c>
      <c r="Y65" s="690"/>
      <c r="Z65" s="684" t="s">
        <v>113</v>
      </c>
      <c r="AA65" s="685"/>
      <c r="AB65" s="686"/>
      <c r="AC65" s="697" t="s">
        <v>128</v>
      </c>
      <c r="AD65" s="698"/>
      <c r="AE65" s="684" t="s">
        <v>82</v>
      </c>
      <c r="AF65" s="685"/>
      <c r="AG65" s="686"/>
      <c r="AH65" s="16"/>
      <c r="AI65" s="16"/>
      <c r="AJ65" s="16"/>
      <c r="AK65" s="16"/>
      <c r="AL65" s="16"/>
      <c r="AM65" s="16"/>
      <c r="AN65" s="16"/>
      <c r="AO65" s="16"/>
      <c r="AP65" s="16"/>
      <c r="AQ65" s="654"/>
      <c r="AR65" s="654"/>
      <c r="AS65" s="16"/>
      <c r="AT65" s="16"/>
      <c r="AU65" s="16"/>
      <c r="AY65" s="79"/>
      <c r="AZ65" s="79"/>
    </row>
    <row r="66" spans="1:52" s="3" customFormat="1" ht="15.6" customHeight="1" x14ac:dyDescent="0.15">
      <c r="A66" s="49"/>
      <c r="B66" s="681"/>
      <c r="C66" s="682"/>
      <c r="D66" s="683"/>
      <c r="E66" s="687"/>
      <c r="F66" s="688"/>
      <c r="G66" s="689"/>
      <c r="H66" s="687"/>
      <c r="I66" s="688"/>
      <c r="J66" s="689"/>
      <c r="K66" s="687"/>
      <c r="L66" s="688"/>
      <c r="M66" s="691"/>
      <c r="N66" s="691"/>
      <c r="O66" s="691"/>
      <c r="P66" s="691"/>
      <c r="Q66" s="691"/>
      <c r="R66" s="687"/>
      <c r="S66" s="689"/>
      <c r="T66" s="687"/>
      <c r="U66" s="689"/>
      <c r="V66" s="691"/>
      <c r="W66" s="691"/>
      <c r="X66" s="691"/>
      <c r="Y66" s="691"/>
      <c r="Z66" s="687"/>
      <c r="AA66" s="688"/>
      <c r="AB66" s="689"/>
      <c r="AC66" s="699"/>
      <c r="AD66" s="700"/>
      <c r="AE66" s="687"/>
      <c r="AF66" s="688"/>
      <c r="AG66" s="689"/>
      <c r="AH66" s="16"/>
      <c r="AI66" s="16"/>
      <c r="AJ66" s="16"/>
      <c r="AK66" s="16"/>
      <c r="AL66" s="16"/>
      <c r="AM66" s="16"/>
      <c r="AN66" s="16"/>
      <c r="AO66" s="16"/>
      <c r="AP66" s="16"/>
      <c r="AQ66" s="654"/>
      <c r="AR66" s="654"/>
      <c r="AS66" s="16"/>
      <c r="AT66" s="16"/>
      <c r="AU66" s="16"/>
      <c r="AY66" s="79"/>
      <c r="AZ66" s="79"/>
    </row>
    <row r="67" spans="1:52" s="14" customFormat="1" ht="15.6" customHeight="1" x14ac:dyDescent="0.15">
      <c r="A67" s="114"/>
      <c r="B67" s="701" t="s">
        <v>86</v>
      </c>
      <c r="C67" s="702"/>
      <c r="D67" s="703"/>
      <c r="E67" s="667">
        <v>2249</v>
      </c>
      <c r="F67" s="668"/>
      <c r="G67" s="669"/>
      <c r="H67" s="667">
        <v>2339</v>
      </c>
      <c r="I67" s="668"/>
      <c r="J67" s="669"/>
      <c r="K67" s="667">
        <v>122</v>
      </c>
      <c r="L67" s="668"/>
      <c r="M67" s="673">
        <v>583</v>
      </c>
      <c r="N67" s="673"/>
      <c r="O67" s="673">
        <v>2149</v>
      </c>
      <c r="P67" s="673"/>
      <c r="Q67" s="673"/>
      <c r="R67" s="667">
        <v>0</v>
      </c>
      <c r="S67" s="669"/>
      <c r="T67" s="667">
        <v>78</v>
      </c>
      <c r="U67" s="669"/>
      <c r="V67" s="673">
        <v>10</v>
      </c>
      <c r="W67" s="673"/>
      <c r="X67" s="673">
        <v>11</v>
      </c>
      <c r="Y67" s="673"/>
      <c r="Z67" s="667">
        <v>1</v>
      </c>
      <c r="AA67" s="668"/>
      <c r="AB67" s="669"/>
      <c r="AC67" s="667">
        <v>1</v>
      </c>
      <c r="AD67" s="669"/>
      <c r="AE67" s="667">
        <f>SUM(E67:AD68)</f>
        <v>7543</v>
      </c>
      <c r="AF67" s="668"/>
      <c r="AG67" s="669"/>
      <c r="AH67" s="541"/>
      <c r="AI67" s="541"/>
      <c r="AJ67" s="541"/>
      <c r="AK67" s="541"/>
      <c r="AL67" s="541"/>
      <c r="AM67" s="541"/>
      <c r="AN67" s="541"/>
      <c r="AO67" s="541"/>
      <c r="AP67" s="541"/>
      <c r="AQ67" s="654"/>
      <c r="AR67" s="654"/>
      <c r="AS67" s="114"/>
      <c r="AT67" s="114"/>
      <c r="AU67" s="114"/>
      <c r="AY67" s="80"/>
      <c r="AZ67" s="80"/>
    </row>
    <row r="68" spans="1:52" s="14" customFormat="1" ht="15.6" customHeight="1" x14ac:dyDescent="0.15">
      <c r="A68" s="114"/>
      <c r="B68" s="711"/>
      <c r="C68" s="712"/>
      <c r="D68" s="713"/>
      <c r="E68" s="670"/>
      <c r="F68" s="671"/>
      <c r="G68" s="672"/>
      <c r="H68" s="670"/>
      <c r="I68" s="671"/>
      <c r="J68" s="672"/>
      <c r="K68" s="670"/>
      <c r="L68" s="671"/>
      <c r="M68" s="714"/>
      <c r="N68" s="714"/>
      <c r="O68" s="714"/>
      <c r="P68" s="714"/>
      <c r="Q68" s="714"/>
      <c r="R68" s="670"/>
      <c r="S68" s="672"/>
      <c r="T68" s="670"/>
      <c r="U68" s="672"/>
      <c r="V68" s="714"/>
      <c r="W68" s="714"/>
      <c r="X68" s="714"/>
      <c r="Y68" s="714"/>
      <c r="Z68" s="670"/>
      <c r="AA68" s="671"/>
      <c r="AB68" s="672"/>
      <c r="AC68" s="670"/>
      <c r="AD68" s="672"/>
      <c r="AE68" s="670"/>
      <c r="AF68" s="671"/>
      <c r="AG68" s="672"/>
      <c r="AH68" s="541"/>
      <c r="AI68" s="541"/>
      <c r="AJ68" s="541"/>
      <c r="AK68" s="541"/>
      <c r="AL68" s="541"/>
      <c r="AM68" s="541"/>
      <c r="AN68" s="541"/>
      <c r="AO68" s="541"/>
      <c r="AP68" s="541"/>
      <c r="AQ68" s="654"/>
      <c r="AR68" s="654"/>
      <c r="AS68" s="114"/>
      <c r="AT68" s="114"/>
      <c r="AU68" s="114"/>
      <c r="AY68" s="80"/>
      <c r="AZ68" s="80"/>
    </row>
    <row r="69" spans="1:52" s="14" customFormat="1" ht="15.6" customHeight="1" x14ac:dyDescent="0.15">
      <c r="A69" s="114"/>
      <c r="B69" s="701" t="s">
        <v>87</v>
      </c>
      <c r="C69" s="702"/>
      <c r="D69" s="703"/>
      <c r="E69" s="667">
        <v>2921</v>
      </c>
      <c r="F69" s="668"/>
      <c r="G69" s="669"/>
      <c r="H69" s="667">
        <v>3010</v>
      </c>
      <c r="I69" s="668"/>
      <c r="J69" s="669"/>
      <c r="K69" s="667">
        <v>189</v>
      </c>
      <c r="L69" s="668"/>
      <c r="M69" s="673">
        <v>601</v>
      </c>
      <c r="N69" s="673"/>
      <c r="O69" s="673">
        <v>2659</v>
      </c>
      <c r="P69" s="673"/>
      <c r="Q69" s="673"/>
      <c r="R69" s="667">
        <v>0</v>
      </c>
      <c r="S69" s="669"/>
      <c r="T69" s="667">
        <v>95</v>
      </c>
      <c r="U69" s="669"/>
      <c r="V69" s="673">
        <v>10</v>
      </c>
      <c r="W69" s="673"/>
      <c r="X69" s="673">
        <v>11</v>
      </c>
      <c r="Y69" s="673"/>
      <c r="Z69" s="667">
        <v>1</v>
      </c>
      <c r="AA69" s="668"/>
      <c r="AB69" s="669"/>
      <c r="AC69" s="667">
        <v>1</v>
      </c>
      <c r="AD69" s="669"/>
      <c r="AE69" s="723">
        <f>SUM(E69:AC70)</f>
        <v>9498</v>
      </c>
      <c r="AF69" s="724"/>
      <c r="AG69" s="725"/>
      <c r="AH69" s="541"/>
      <c r="AI69" s="541"/>
      <c r="AJ69" s="541"/>
      <c r="AK69" s="541"/>
      <c r="AL69" s="541"/>
      <c r="AM69" s="541"/>
      <c r="AN69" s="541"/>
      <c r="AO69" s="541"/>
      <c r="AP69" s="541"/>
      <c r="AQ69" s="86"/>
      <c r="AR69" s="86"/>
      <c r="AS69" s="114"/>
      <c r="AT69" s="114"/>
      <c r="AU69" s="114"/>
      <c r="AY69" s="80"/>
      <c r="AZ69" s="80"/>
    </row>
    <row r="70" spans="1:52" s="14" customFormat="1" ht="15.6" customHeight="1" thickBot="1" x14ac:dyDescent="0.2">
      <c r="A70" s="16"/>
      <c r="B70" s="704"/>
      <c r="C70" s="705"/>
      <c r="D70" s="706"/>
      <c r="E70" s="707"/>
      <c r="F70" s="708"/>
      <c r="G70" s="709"/>
      <c r="H70" s="707"/>
      <c r="I70" s="708"/>
      <c r="J70" s="709"/>
      <c r="K70" s="707"/>
      <c r="L70" s="708"/>
      <c r="M70" s="710"/>
      <c r="N70" s="710"/>
      <c r="O70" s="710"/>
      <c r="P70" s="710"/>
      <c r="Q70" s="710"/>
      <c r="R70" s="707"/>
      <c r="S70" s="709"/>
      <c r="T70" s="707"/>
      <c r="U70" s="709"/>
      <c r="V70" s="710"/>
      <c r="W70" s="710"/>
      <c r="X70" s="710"/>
      <c r="Y70" s="710"/>
      <c r="Z70" s="707"/>
      <c r="AA70" s="708"/>
      <c r="AB70" s="709"/>
      <c r="AC70" s="707"/>
      <c r="AD70" s="709"/>
      <c r="AE70" s="707"/>
      <c r="AF70" s="708"/>
      <c r="AG70" s="709"/>
      <c r="AH70" s="16"/>
      <c r="AI70" s="16"/>
      <c r="AJ70" s="16"/>
      <c r="AK70" s="16"/>
      <c r="AL70" s="16"/>
      <c r="AM70" s="16"/>
      <c r="AN70" s="16"/>
      <c r="AO70" s="16"/>
      <c r="AP70" s="16"/>
      <c r="AQ70" s="87"/>
      <c r="AR70" s="87"/>
      <c r="AS70" s="16"/>
      <c r="AT70" s="16"/>
      <c r="AU70" s="16"/>
      <c r="AY70" s="80"/>
      <c r="AZ70" s="80"/>
    </row>
    <row r="71" spans="1:52" s="3" customFormat="1" ht="15.6" customHeight="1" thickTop="1" x14ac:dyDescent="0.15">
      <c r="A71" s="49"/>
      <c r="B71" s="874" t="s">
        <v>159</v>
      </c>
      <c r="C71" s="875"/>
      <c r="D71" s="876"/>
      <c r="E71" s="847">
        <v>1797333</v>
      </c>
      <c r="F71" s="848"/>
      <c r="G71" s="849"/>
      <c r="H71" s="847">
        <v>1033415</v>
      </c>
      <c r="I71" s="848"/>
      <c r="J71" s="849"/>
      <c r="K71" s="847">
        <v>16563</v>
      </c>
      <c r="L71" s="848"/>
      <c r="M71" s="855">
        <v>196035</v>
      </c>
      <c r="N71" s="855"/>
      <c r="O71" s="855">
        <v>2794624</v>
      </c>
      <c r="P71" s="855"/>
      <c r="Q71" s="855"/>
      <c r="R71" s="847">
        <v>245</v>
      </c>
      <c r="S71" s="849"/>
      <c r="T71" s="847">
        <v>10120</v>
      </c>
      <c r="U71" s="849"/>
      <c r="V71" s="855">
        <v>17768</v>
      </c>
      <c r="W71" s="855"/>
      <c r="X71" s="855">
        <v>26860</v>
      </c>
      <c r="Y71" s="855"/>
      <c r="Z71" s="847">
        <v>1166</v>
      </c>
      <c r="AA71" s="848"/>
      <c r="AB71" s="849"/>
      <c r="AC71" s="870">
        <v>800</v>
      </c>
      <c r="AD71" s="871"/>
      <c r="AE71" s="847">
        <f>SUM(E71:AD72)</f>
        <v>5894929</v>
      </c>
      <c r="AF71" s="848"/>
      <c r="AG71" s="849"/>
      <c r="AH71" s="16"/>
      <c r="AI71" s="537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Y71" s="79"/>
      <c r="AZ71" s="79"/>
    </row>
    <row r="72" spans="1:52" s="3" customFormat="1" ht="15.6" customHeight="1" x14ac:dyDescent="0.15">
      <c r="A72" s="49"/>
      <c r="B72" s="877"/>
      <c r="C72" s="878"/>
      <c r="D72" s="879"/>
      <c r="E72" s="850"/>
      <c r="F72" s="851"/>
      <c r="G72" s="852"/>
      <c r="H72" s="850"/>
      <c r="I72" s="851"/>
      <c r="J72" s="852"/>
      <c r="K72" s="853"/>
      <c r="L72" s="854"/>
      <c r="M72" s="856"/>
      <c r="N72" s="856"/>
      <c r="O72" s="856"/>
      <c r="P72" s="856"/>
      <c r="Q72" s="856"/>
      <c r="R72" s="850"/>
      <c r="S72" s="852"/>
      <c r="T72" s="850"/>
      <c r="U72" s="852"/>
      <c r="V72" s="856"/>
      <c r="W72" s="856"/>
      <c r="X72" s="856"/>
      <c r="Y72" s="856"/>
      <c r="Z72" s="853"/>
      <c r="AA72" s="854"/>
      <c r="AB72" s="864"/>
      <c r="AC72" s="872"/>
      <c r="AD72" s="873"/>
      <c r="AE72" s="853"/>
      <c r="AF72" s="854"/>
      <c r="AG72" s="864"/>
      <c r="AH72" s="16"/>
      <c r="AI72" s="537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Y72" s="79"/>
      <c r="AZ72" s="79"/>
    </row>
    <row r="73" spans="1:52" s="3" customFormat="1" ht="15.6" customHeight="1" x14ac:dyDescent="0.15">
      <c r="A73" s="49"/>
      <c r="B73" s="865" t="s">
        <v>30</v>
      </c>
      <c r="C73" s="866"/>
      <c r="D73" s="867"/>
      <c r="E73" s="858">
        <v>0.3049</v>
      </c>
      <c r="F73" s="859"/>
      <c r="G73" s="860"/>
      <c r="H73" s="858">
        <f>H71/AE71</f>
        <v>0.17530575855960268</v>
      </c>
      <c r="I73" s="859"/>
      <c r="J73" s="860"/>
      <c r="K73" s="858">
        <f>K71/AE71</f>
        <v>2.8097030515549892E-3</v>
      </c>
      <c r="L73" s="860"/>
      <c r="M73" s="858">
        <f>M71/AE71</f>
        <v>3.3254853451161158E-2</v>
      </c>
      <c r="N73" s="859"/>
      <c r="O73" s="858">
        <f>O71/AE71</f>
        <v>0.47407254608155586</v>
      </c>
      <c r="P73" s="859"/>
      <c r="Q73" s="860"/>
      <c r="R73" s="868">
        <f>R71/AE71</f>
        <v>4.1561145180883433E-5</v>
      </c>
      <c r="S73" s="869"/>
      <c r="T73" s="868">
        <f>T71/AE71</f>
        <v>1.7167297519613892E-3</v>
      </c>
      <c r="U73" s="869"/>
      <c r="V73" s="857">
        <f>V71/AE71</f>
        <v>3.0141160309140281E-3</v>
      </c>
      <c r="W73" s="857"/>
      <c r="X73" s="857">
        <f>X71/AE71</f>
        <v>4.5564586104429759E-3</v>
      </c>
      <c r="Y73" s="857"/>
      <c r="Z73" s="858">
        <f>Z71/AE71</f>
        <v>1.9779712359555137E-4</v>
      </c>
      <c r="AA73" s="859"/>
      <c r="AB73" s="860"/>
      <c r="AC73" s="858">
        <f>AC71/AE71</f>
        <v>1.3570986181512959E-4</v>
      </c>
      <c r="AD73" s="860"/>
      <c r="AE73" s="861">
        <v>1</v>
      </c>
      <c r="AF73" s="862"/>
      <c r="AG73" s="863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Y73" s="79"/>
      <c r="AZ73" s="79"/>
    </row>
    <row r="74" spans="1:52" s="3" customFormat="1" ht="15.6" customHeight="1" x14ac:dyDescent="0.15">
      <c r="A74" s="49"/>
      <c r="B74" s="113"/>
      <c r="C74" s="110"/>
      <c r="D74" s="110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70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Y74" s="79"/>
      <c r="AZ74" s="79"/>
    </row>
    <row r="75" spans="1:52" s="3" customFormat="1" ht="15.6" customHeight="1" x14ac:dyDescent="0.15">
      <c r="A75" s="50" t="s">
        <v>71</v>
      </c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00" t="s">
        <v>33</v>
      </c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Y75" s="79"/>
      <c r="AZ75" s="79"/>
    </row>
    <row r="76" spans="1:52" s="3" customFormat="1" ht="15.6" customHeight="1" x14ac:dyDescent="0.15">
      <c r="A76" s="49"/>
      <c r="B76" s="730" t="s">
        <v>34</v>
      </c>
      <c r="C76" s="730"/>
      <c r="D76" s="730"/>
      <c r="E76" s="730"/>
      <c r="F76" s="730"/>
      <c r="G76" s="730"/>
      <c r="H76" s="730" t="s">
        <v>35</v>
      </c>
      <c r="I76" s="730"/>
      <c r="J76" s="730"/>
      <c r="K76" s="730"/>
      <c r="L76" s="730"/>
      <c r="M76" s="730"/>
      <c r="N76" s="730"/>
      <c r="O76" s="730"/>
      <c r="P76" s="730"/>
      <c r="Q76" s="730"/>
      <c r="R76" s="730"/>
      <c r="S76" s="730"/>
      <c r="T76" s="730"/>
      <c r="U76" s="730"/>
      <c r="V76" s="730"/>
      <c r="W76" s="730"/>
      <c r="X76" s="730"/>
      <c r="Y76" s="730"/>
      <c r="Z76" s="549" t="s">
        <v>36</v>
      </c>
      <c r="AA76" s="550"/>
      <c r="AB76" s="550"/>
      <c r="AC76" s="550"/>
      <c r="AD76" s="550"/>
      <c r="AE76" s="550"/>
      <c r="AF76" s="550"/>
      <c r="AG76" s="551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Y76" s="79"/>
      <c r="AZ76" s="79"/>
    </row>
    <row r="77" spans="1:52" s="3" customFormat="1" ht="15.6" customHeight="1" x14ac:dyDescent="0.15">
      <c r="A77" s="49"/>
      <c r="B77" s="730"/>
      <c r="C77" s="730"/>
      <c r="D77" s="730"/>
      <c r="E77" s="730"/>
      <c r="F77" s="730"/>
      <c r="G77" s="730"/>
      <c r="H77" s="730" t="s">
        <v>37</v>
      </c>
      <c r="I77" s="730"/>
      <c r="J77" s="730"/>
      <c r="K77" s="730"/>
      <c r="L77" s="730"/>
      <c r="M77" s="730"/>
      <c r="N77" s="730" t="s">
        <v>38</v>
      </c>
      <c r="O77" s="730"/>
      <c r="P77" s="730"/>
      <c r="Q77" s="730"/>
      <c r="R77" s="730"/>
      <c r="S77" s="730"/>
      <c r="T77" s="730" t="s">
        <v>39</v>
      </c>
      <c r="U77" s="730"/>
      <c r="V77" s="730"/>
      <c r="W77" s="730"/>
      <c r="X77" s="730"/>
      <c r="Y77" s="730"/>
      <c r="Z77" s="552"/>
      <c r="AA77" s="553"/>
      <c r="AB77" s="553"/>
      <c r="AC77" s="553"/>
      <c r="AD77" s="553"/>
      <c r="AE77" s="553"/>
      <c r="AF77" s="553"/>
      <c r="AG77" s="554"/>
      <c r="AH77" s="16"/>
      <c r="AI77" s="16"/>
      <c r="AJ77" s="16"/>
      <c r="AK77" s="16"/>
      <c r="AL77" s="14"/>
      <c r="AM77" s="14"/>
      <c r="AN77" s="14"/>
      <c r="AO77" s="14"/>
      <c r="AP77" s="14"/>
      <c r="AQ77" s="14"/>
      <c r="AR77" s="14"/>
      <c r="AY77" s="79"/>
      <c r="AZ77" s="79"/>
    </row>
    <row r="78" spans="1:52" s="3" customFormat="1" ht="15.6" customHeight="1" x14ac:dyDescent="0.15">
      <c r="A78" s="49"/>
      <c r="B78" s="731" t="s">
        <v>136</v>
      </c>
      <c r="C78" s="732"/>
      <c r="D78" s="732"/>
      <c r="E78" s="732"/>
      <c r="F78" s="732"/>
      <c r="G78" s="733"/>
      <c r="H78" s="734">
        <v>5190000</v>
      </c>
      <c r="I78" s="735"/>
      <c r="J78" s="735"/>
      <c r="K78" s="735"/>
      <c r="L78" s="735"/>
      <c r="M78" s="736"/>
      <c r="N78" s="737">
        <v>210000</v>
      </c>
      <c r="O78" s="738"/>
      <c r="P78" s="738"/>
      <c r="Q78" s="738"/>
      <c r="R78" s="738"/>
      <c r="S78" s="739"/>
      <c r="T78" s="734">
        <f t="shared" ref="T78:T81" si="1">SUM(H78:S78)</f>
        <v>5400000</v>
      </c>
      <c r="U78" s="735"/>
      <c r="V78" s="735"/>
      <c r="W78" s="735"/>
      <c r="X78" s="735"/>
      <c r="Y78" s="736"/>
      <c r="Z78" s="740">
        <v>5385302</v>
      </c>
      <c r="AA78" s="741"/>
      <c r="AB78" s="741"/>
      <c r="AC78" s="741"/>
      <c r="AD78" s="741"/>
      <c r="AE78" s="741"/>
      <c r="AF78" s="741"/>
      <c r="AG78" s="742"/>
      <c r="AH78" s="16"/>
      <c r="AI78" s="16"/>
      <c r="AJ78" s="16"/>
      <c r="AK78" s="16"/>
      <c r="AL78" s="14"/>
      <c r="AM78" s="14"/>
      <c r="AN78" s="14"/>
      <c r="AO78" s="14"/>
      <c r="AP78" s="14"/>
      <c r="AQ78" s="14"/>
      <c r="AR78" s="14"/>
      <c r="AY78" s="79"/>
      <c r="AZ78" s="79"/>
    </row>
    <row r="79" spans="1:52" s="3" customFormat="1" ht="15.6" customHeight="1" x14ac:dyDescent="0.15">
      <c r="A79" s="49"/>
      <c r="B79" s="731" t="s">
        <v>137</v>
      </c>
      <c r="C79" s="732"/>
      <c r="D79" s="732"/>
      <c r="E79" s="732"/>
      <c r="F79" s="732"/>
      <c r="G79" s="733"/>
      <c r="H79" s="734">
        <v>5300000</v>
      </c>
      <c r="I79" s="735"/>
      <c r="J79" s="735"/>
      <c r="K79" s="735"/>
      <c r="L79" s="735"/>
      <c r="M79" s="736"/>
      <c r="N79" s="737">
        <v>346000</v>
      </c>
      <c r="O79" s="738"/>
      <c r="P79" s="738"/>
      <c r="Q79" s="738"/>
      <c r="R79" s="738"/>
      <c r="S79" s="739"/>
      <c r="T79" s="734">
        <f t="shared" si="1"/>
        <v>5646000</v>
      </c>
      <c r="U79" s="735"/>
      <c r="V79" s="735"/>
      <c r="W79" s="735"/>
      <c r="X79" s="735"/>
      <c r="Y79" s="736"/>
      <c r="Z79" s="740">
        <v>5636644</v>
      </c>
      <c r="AA79" s="741"/>
      <c r="AB79" s="741"/>
      <c r="AC79" s="741"/>
      <c r="AD79" s="741"/>
      <c r="AE79" s="741"/>
      <c r="AF79" s="741"/>
      <c r="AG79" s="742"/>
      <c r="AH79" s="16"/>
      <c r="AI79" s="16"/>
      <c r="AJ79" s="16"/>
      <c r="AK79" s="16"/>
      <c r="AL79" s="14"/>
      <c r="AM79" s="14"/>
      <c r="AN79" s="14"/>
      <c r="AO79" s="14"/>
      <c r="AP79" s="14"/>
      <c r="AQ79" s="14"/>
      <c r="AR79" s="14"/>
      <c r="AY79" s="79"/>
      <c r="AZ79" s="79"/>
    </row>
    <row r="80" spans="1:52" s="3" customFormat="1" ht="15.6" customHeight="1" x14ac:dyDescent="0.15">
      <c r="A80" s="49"/>
      <c r="B80" s="731" t="s">
        <v>138</v>
      </c>
      <c r="C80" s="732"/>
      <c r="D80" s="732"/>
      <c r="E80" s="732"/>
      <c r="F80" s="732"/>
      <c r="G80" s="733"/>
      <c r="H80" s="734">
        <v>5310000</v>
      </c>
      <c r="I80" s="735"/>
      <c r="J80" s="735"/>
      <c r="K80" s="735"/>
      <c r="L80" s="735"/>
      <c r="M80" s="736"/>
      <c r="N80" s="743">
        <v>197000</v>
      </c>
      <c r="O80" s="744"/>
      <c r="P80" s="744"/>
      <c r="Q80" s="744"/>
      <c r="R80" s="744"/>
      <c r="S80" s="745"/>
      <c r="T80" s="734">
        <f t="shared" si="1"/>
        <v>5507000</v>
      </c>
      <c r="U80" s="735"/>
      <c r="V80" s="735"/>
      <c r="W80" s="735"/>
      <c r="X80" s="735"/>
      <c r="Y80" s="736"/>
      <c r="Z80" s="734">
        <v>5500325</v>
      </c>
      <c r="AA80" s="735"/>
      <c r="AB80" s="735"/>
      <c r="AC80" s="735"/>
      <c r="AD80" s="735"/>
      <c r="AE80" s="735"/>
      <c r="AF80" s="735"/>
      <c r="AG80" s="736"/>
      <c r="AH80" s="16"/>
      <c r="AI80" s="16"/>
      <c r="AJ80" s="16"/>
      <c r="AK80" s="16"/>
      <c r="AL80" s="16"/>
      <c r="AM80" s="16"/>
      <c r="AN80" s="16"/>
      <c r="AO80" s="16"/>
      <c r="AP80" s="14"/>
      <c r="AQ80" s="14"/>
      <c r="AR80" s="14"/>
      <c r="AY80" s="79"/>
      <c r="AZ80" s="79"/>
    </row>
    <row r="81" spans="1:54" s="3" customFormat="1" ht="15.6" customHeight="1" x14ac:dyDescent="0.15">
      <c r="A81" s="49"/>
      <c r="B81" s="746" t="s">
        <v>132</v>
      </c>
      <c r="C81" s="746"/>
      <c r="D81" s="746"/>
      <c r="E81" s="746"/>
      <c r="F81" s="746"/>
      <c r="G81" s="746"/>
      <c r="H81" s="747">
        <v>5510000</v>
      </c>
      <c r="I81" s="748"/>
      <c r="J81" s="748"/>
      <c r="K81" s="748"/>
      <c r="L81" s="748"/>
      <c r="M81" s="749"/>
      <c r="N81" s="743">
        <v>388000</v>
      </c>
      <c r="O81" s="744"/>
      <c r="P81" s="744"/>
      <c r="Q81" s="744"/>
      <c r="R81" s="744"/>
      <c r="S81" s="745"/>
      <c r="T81" s="747">
        <f t="shared" si="1"/>
        <v>5898000</v>
      </c>
      <c r="U81" s="748"/>
      <c r="V81" s="748"/>
      <c r="W81" s="748"/>
      <c r="X81" s="748"/>
      <c r="Y81" s="749"/>
      <c r="Z81" s="747">
        <v>5894929</v>
      </c>
      <c r="AA81" s="748"/>
      <c r="AB81" s="748"/>
      <c r="AC81" s="748"/>
      <c r="AD81" s="748"/>
      <c r="AE81" s="748"/>
      <c r="AF81" s="748"/>
      <c r="AG81" s="749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Y81" s="79"/>
      <c r="AZ81" s="79"/>
    </row>
    <row r="82" spans="1:54" s="3" customFormat="1" ht="15.6" customHeight="1" x14ac:dyDescent="0.15">
      <c r="A82" s="49"/>
      <c r="B82" s="746" t="s">
        <v>145</v>
      </c>
      <c r="C82" s="746"/>
      <c r="D82" s="746"/>
      <c r="E82" s="746"/>
      <c r="F82" s="746"/>
      <c r="G82" s="746"/>
      <c r="H82" s="747">
        <v>5596000</v>
      </c>
      <c r="I82" s="748"/>
      <c r="J82" s="748"/>
      <c r="K82" s="748"/>
      <c r="L82" s="748"/>
      <c r="M82" s="749"/>
      <c r="N82" s="743">
        <v>448000</v>
      </c>
      <c r="O82" s="744"/>
      <c r="P82" s="744"/>
      <c r="Q82" s="744"/>
      <c r="R82" s="744"/>
      <c r="S82" s="745"/>
      <c r="T82" s="747">
        <f>SUM(H82:S82)</f>
        <v>6044000</v>
      </c>
      <c r="U82" s="748"/>
      <c r="V82" s="748"/>
      <c r="W82" s="748"/>
      <c r="X82" s="748"/>
      <c r="Y82" s="749"/>
      <c r="Z82" s="844"/>
      <c r="AA82" s="845"/>
      <c r="AB82" s="845"/>
      <c r="AC82" s="845"/>
      <c r="AD82" s="845"/>
      <c r="AE82" s="845"/>
      <c r="AF82" s="845"/>
      <c r="AG82" s="84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Y82" s="79"/>
      <c r="AZ82" s="79"/>
    </row>
    <row r="83" spans="1:54" s="3" customFormat="1" ht="15.6" customHeight="1" x14ac:dyDescent="0.15">
      <c r="A83" s="49"/>
      <c r="B83" s="110"/>
      <c r="C83" s="110"/>
      <c r="D83" s="110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Y83" s="79"/>
      <c r="AZ83" s="79"/>
    </row>
    <row r="84" spans="1:54" s="1" customFormat="1" ht="15.6" customHeight="1" x14ac:dyDescent="0.15">
      <c r="A84" s="49" t="s">
        <v>49</v>
      </c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77" t="s">
        <v>88</v>
      </c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Y84" s="98"/>
      <c r="AZ84" s="98"/>
    </row>
    <row r="85" spans="1:54" s="1" customFormat="1" ht="15.6" customHeight="1" x14ac:dyDescent="0.15">
      <c r="A85" s="49"/>
      <c r="B85" s="730" t="s">
        <v>78</v>
      </c>
      <c r="C85" s="730"/>
      <c r="D85" s="730"/>
      <c r="E85" s="730"/>
      <c r="F85" s="730"/>
      <c r="G85" s="751" t="s">
        <v>123</v>
      </c>
      <c r="H85" s="752"/>
      <c r="I85" s="752"/>
      <c r="J85" s="752"/>
      <c r="K85" s="753"/>
      <c r="L85" s="751" t="s">
        <v>127</v>
      </c>
      <c r="M85" s="752"/>
      <c r="N85" s="752"/>
      <c r="O85" s="752"/>
      <c r="P85" s="753"/>
      <c r="Q85" s="751" t="s">
        <v>138</v>
      </c>
      <c r="R85" s="752"/>
      <c r="S85" s="752"/>
      <c r="T85" s="752"/>
      <c r="U85" s="753"/>
      <c r="V85" s="754" t="s">
        <v>132</v>
      </c>
      <c r="W85" s="730"/>
      <c r="X85" s="730"/>
      <c r="Y85" s="730"/>
      <c r="Z85" s="730"/>
      <c r="AA85" s="754" t="s">
        <v>145</v>
      </c>
      <c r="AB85" s="730"/>
      <c r="AC85" s="730"/>
      <c r="AD85" s="730"/>
      <c r="AE85" s="730"/>
      <c r="AF85" s="16"/>
      <c r="AG85" s="16"/>
      <c r="AH85" s="16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Y85" s="98"/>
      <c r="AZ85" s="98"/>
    </row>
    <row r="86" spans="1:54" s="1" customFormat="1" ht="15.6" customHeight="1" x14ac:dyDescent="0.15">
      <c r="A86" s="49"/>
      <c r="B86" s="756" t="s">
        <v>77</v>
      </c>
      <c r="C86" s="756"/>
      <c r="D86" s="756"/>
      <c r="E86" s="756"/>
      <c r="F86" s="756"/>
      <c r="G86" s="757">
        <v>1199</v>
      </c>
      <c r="H86" s="758"/>
      <c r="I86" s="758"/>
      <c r="J86" s="758"/>
      <c r="K86" s="759"/>
      <c r="L86" s="757">
        <f>990+98</f>
        <v>1088</v>
      </c>
      <c r="M86" s="758"/>
      <c r="N86" s="758"/>
      <c r="O86" s="758"/>
      <c r="P86" s="759"/>
      <c r="Q86" s="757">
        <v>1174</v>
      </c>
      <c r="R86" s="758"/>
      <c r="S86" s="758"/>
      <c r="T86" s="758"/>
      <c r="U86" s="759"/>
      <c r="V86" s="763">
        <v>1207</v>
      </c>
      <c r="W86" s="763"/>
      <c r="X86" s="763"/>
      <c r="Y86" s="763"/>
      <c r="Z86" s="763"/>
      <c r="AA86" s="763">
        <v>1103</v>
      </c>
      <c r="AB86" s="763"/>
      <c r="AC86" s="763"/>
      <c r="AD86" s="763"/>
      <c r="AE86" s="763"/>
      <c r="AF86" s="16"/>
      <c r="AG86" s="16"/>
      <c r="AH86" s="16"/>
      <c r="AI86" s="755"/>
      <c r="AJ86" s="755"/>
      <c r="AK86" s="755"/>
      <c r="AL86" s="13"/>
      <c r="AM86" s="13"/>
      <c r="AN86" s="13"/>
      <c r="AO86" s="13"/>
      <c r="AP86" s="13"/>
      <c r="AQ86" s="13"/>
      <c r="AR86" s="13"/>
      <c r="AY86" s="98"/>
      <c r="AZ86" s="98"/>
    </row>
    <row r="87" spans="1:54" s="1" customFormat="1" ht="15.6" customHeight="1" x14ac:dyDescent="0.15">
      <c r="A87" s="49"/>
      <c r="B87" s="756" t="s">
        <v>76</v>
      </c>
      <c r="C87" s="756"/>
      <c r="D87" s="756"/>
      <c r="E87" s="756"/>
      <c r="F87" s="756"/>
      <c r="G87" s="757">
        <v>100</v>
      </c>
      <c r="H87" s="758"/>
      <c r="I87" s="758"/>
      <c r="J87" s="758"/>
      <c r="K87" s="759"/>
      <c r="L87" s="757">
        <v>91</v>
      </c>
      <c r="M87" s="758"/>
      <c r="N87" s="758"/>
      <c r="O87" s="758"/>
      <c r="P87" s="759"/>
      <c r="Q87" s="757">
        <f>Q86/12</f>
        <v>97.833333333333329</v>
      </c>
      <c r="R87" s="758"/>
      <c r="S87" s="758"/>
      <c r="T87" s="758"/>
      <c r="U87" s="759"/>
      <c r="V87" s="757">
        <f>V86/12</f>
        <v>100.58333333333333</v>
      </c>
      <c r="W87" s="758"/>
      <c r="X87" s="758"/>
      <c r="Y87" s="758"/>
      <c r="Z87" s="759"/>
      <c r="AA87" s="757">
        <f>AA86/12</f>
        <v>91.916666666666671</v>
      </c>
      <c r="AB87" s="758"/>
      <c r="AC87" s="758"/>
      <c r="AD87" s="758"/>
      <c r="AE87" s="759"/>
      <c r="AF87" s="16"/>
      <c r="AG87" s="16"/>
      <c r="AH87" s="16"/>
      <c r="AI87" s="889"/>
      <c r="AJ87" s="13"/>
      <c r="AK87" s="13"/>
      <c r="AL87" s="13"/>
      <c r="AM87" s="13"/>
      <c r="AN87" s="13"/>
      <c r="AO87" s="13"/>
      <c r="AP87" s="13"/>
      <c r="AQ87" s="13"/>
      <c r="AR87" s="13"/>
      <c r="AY87" s="98"/>
      <c r="AZ87" s="98"/>
    </row>
    <row r="88" spans="1:54" s="1" customFormat="1" ht="15.6" customHeight="1" x14ac:dyDescent="0.15">
      <c r="A88" s="49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Y88" s="98"/>
      <c r="AZ88" s="98"/>
    </row>
    <row r="89" spans="1:54" s="1" customFormat="1" ht="15.6" customHeight="1" x14ac:dyDescent="0.15">
      <c r="A89" s="50" t="s">
        <v>63</v>
      </c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AA89" s="76" t="s">
        <v>88</v>
      </c>
      <c r="AB89" s="75"/>
      <c r="AC89" s="75"/>
      <c r="AD89" s="75"/>
      <c r="AE89" s="75"/>
      <c r="AF89" s="16"/>
      <c r="AG89" s="16"/>
      <c r="AH89" s="16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Y89" s="98"/>
      <c r="AZ89" s="98"/>
    </row>
    <row r="90" spans="1:54" s="1" customFormat="1" ht="15.6" customHeight="1" x14ac:dyDescent="0.15">
      <c r="A90" s="49"/>
      <c r="B90" s="765" t="s">
        <v>70</v>
      </c>
      <c r="C90" s="766"/>
      <c r="D90" s="767"/>
      <c r="E90" s="765" t="s">
        <v>50</v>
      </c>
      <c r="F90" s="766"/>
      <c r="G90" s="766"/>
      <c r="H90" s="766"/>
      <c r="I90" s="767"/>
      <c r="J90" s="751" t="s">
        <v>139</v>
      </c>
      <c r="K90" s="752"/>
      <c r="L90" s="752"/>
      <c r="M90" s="752"/>
      <c r="N90" s="752"/>
      <c r="O90" s="752"/>
      <c r="P90" s="752"/>
      <c r="Q90" s="753"/>
      <c r="R90" s="751" t="s">
        <v>133</v>
      </c>
      <c r="S90" s="752"/>
      <c r="T90" s="752"/>
      <c r="U90" s="752"/>
      <c r="V90" s="752"/>
      <c r="W90" s="752"/>
      <c r="X90" s="752"/>
      <c r="Y90" s="753"/>
      <c r="Z90" s="751" t="s">
        <v>146</v>
      </c>
      <c r="AA90" s="752"/>
      <c r="AB90" s="752"/>
      <c r="AC90" s="752"/>
      <c r="AD90" s="752"/>
      <c r="AE90" s="752"/>
      <c r="AF90" s="752"/>
      <c r="AG90" s="753"/>
      <c r="AH90" s="16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Y90" s="98"/>
      <c r="AZ90" s="98"/>
    </row>
    <row r="91" spans="1:54" s="1" customFormat="1" ht="15.6" customHeight="1" x14ac:dyDescent="0.15">
      <c r="A91" s="49"/>
      <c r="B91" s="785"/>
      <c r="C91" s="786"/>
      <c r="D91" s="787"/>
      <c r="E91" s="785"/>
      <c r="F91" s="786"/>
      <c r="G91" s="786"/>
      <c r="H91" s="786"/>
      <c r="I91" s="787"/>
      <c r="J91" s="788" t="s">
        <v>51</v>
      </c>
      <c r="K91" s="788"/>
      <c r="L91" s="788"/>
      <c r="M91" s="788"/>
      <c r="N91" s="765" t="s">
        <v>30</v>
      </c>
      <c r="O91" s="766"/>
      <c r="P91" s="766"/>
      <c r="Q91" s="767"/>
      <c r="R91" s="788" t="s">
        <v>51</v>
      </c>
      <c r="S91" s="788"/>
      <c r="T91" s="788"/>
      <c r="U91" s="788"/>
      <c r="V91" s="765" t="s">
        <v>30</v>
      </c>
      <c r="W91" s="766"/>
      <c r="X91" s="766"/>
      <c r="Y91" s="767"/>
      <c r="Z91" s="788" t="s">
        <v>51</v>
      </c>
      <c r="AA91" s="788"/>
      <c r="AB91" s="788"/>
      <c r="AC91" s="788"/>
      <c r="AD91" s="765" t="s">
        <v>30</v>
      </c>
      <c r="AE91" s="766"/>
      <c r="AF91" s="766"/>
      <c r="AG91" s="767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Y91" s="98"/>
      <c r="AZ91" s="98"/>
    </row>
    <row r="92" spans="1:54" s="1" customFormat="1" ht="15.6" customHeight="1" x14ac:dyDescent="0.15">
      <c r="A92" s="52"/>
      <c r="B92" s="768" t="s">
        <v>74</v>
      </c>
      <c r="C92" s="769"/>
      <c r="D92" s="770"/>
      <c r="E92" s="777" t="s">
        <v>52</v>
      </c>
      <c r="F92" s="777"/>
      <c r="G92" s="777"/>
      <c r="H92" s="777"/>
      <c r="I92" s="777"/>
      <c r="J92" s="778">
        <v>225</v>
      </c>
      <c r="K92" s="778"/>
      <c r="L92" s="778"/>
      <c r="M92" s="778"/>
      <c r="N92" s="779">
        <f>J92/SUM(J92:M96)</f>
        <v>0.19165247018739354</v>
      </c>
      <c r="O92" s="779"/>
      <c r="P92" s="779"/>
      <c r="Q92" s="779"/>
      <c r="R92" s="778">
        <v>193</v>
      </c>
      <c r="S92" s="778"/>
      <c r="T92" s="778"/>
      <c r="U92" s="778"/>
      <c r="V92" s="779">
        <f>R92/SUM(R92:U96)</f>
        <v>0.15990057995028997</v>
      </c>
      <c r="W92" s="779"/>
      <c r="X92" s="779"/>
      <c r="Y92" s="779"/>
      <c r="Z92" s="780">
        <v>206</v>
      </c>
      <c r="AA92" s="778"/>
      <c r="AB92" s="778"/>
      <c r="AC92" s="778"/>
      <c r="AD92" s="779">
        <f>Z92/AA86</f>
        <v>0.18676337262012693</v>
      </c>
      <c r="AE92" s="779"/>
      <c r="AF92" s="779"/>
      <c r="AG92" s="779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Y92" s="789"/>
      <c r="AZ92" s="789"/>
    </row>
    <row r="93" spans="1:54" s="1" customFormat="1" ht="15.6" customHeight="1" x14ac:dyDescent="0.15">
      <c r="A93" s="52"/>
      <c r="B93" s="771"/>
      <c r="C93" s="772"/>
      <c r="D93" s="773"/>
      <c r="E93" s="784" t="s">
        <v>53</v>
      </c>
      <c r="F93" s="784"/>
      <c r="G93" s="784"/>
      <c r="H93" s="784"/>
      <c r="I93" s="784"/>
      <c r="J93" s="790">
        <v>326</v>
      </c>
      <c r="K93" s="790"/>
      <c r="L93" s="790"/>
      <c r="M93" s="790"/>
      <c r="N93" s="791">
        <f>J93/SUM(J92:M96)</f>
        <v>0.2776831345826235</v>
      </c>
      <c r="O93" s="791"/>
      <c r="P93" s="791"/>
      <c r="Q93" s="791"/>
      <c r="R93" s="790">
        <v>600</v>
      </c>
      <c r="S93" s="790"/>
      <c r="T93" s="790"/>
      <c r="U93" s="790"/>
      <c r="V93" s="791">
        <f>R93/SUM(R92:U96)</f>
        <v>0.4971002485501243</v>
      </c>
      <c r="W93" s="791"/>
      <c r="X93" s="791"/>
      <c r="Y93" s="791"/>
      <c r="Z93" s="792">
        <v>391</v>
      </c>
      <c r="AA93" s="790"/>
      <c r="AB93" s="790"/>
      <c r="AC93" s="790"/>
      <c r="AD93" s="791">
        <f>Z93/AA86</f>
        <v>0.35448776065276516</v>
      </c>
      <c r="AE93" s="791"/>
      <c r="AF93" s="791"/>
      <c r="AG93" s="791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Y93" s="789"/>
      <c r="AZ93" s="789"/>
    </row>
    <row r="94" spans="1:54" s="1" customFormat="1" ht="15.6" customHeight="1" x14ac:dyDescent="0.15">
      <c r="A94" s="52"/>
      <c r="B94" s="771"/>
      <c r="C94" s="772"/>
      <c r="D94" s="773"/>
      <c r="E94" s="784" t="s">
        <v>54</v>
      </c>
      <c r="F94" s="784"/>
      <c r="G94" s="784"/>
      <c r="H94" s="784"/>
      <c r="I94" s="784"/>
      <c r="J94" s="790">
        <v>27</v>
      </c>
      <c r="K94" s="790"/>
      <c r="L94" s="790"/>
      <c r="M94" s="790"/>
      <c r="N94" s="791">
        <f>J94/SUM(J92:M96)</f>
        <v>2.2998296422487224E-2</v>
      </c>
      <c r="O94" s="791"/>
      <c r="P94" s="791"/>
      <c r="Q94" s="791"/>
      <c r="R94" s="790">
        <v>20</v>
      </c>
      <c r="S94" s="790"/>
      <c r="T94" s="790"/>
      <c r="U94" s="790"/>
      <c r="V94" s="791">
        <f>R94/SUM(R92:U96)</f>
        <v>1.6570008285004142E-2</v>
      </c>
      <c r="W94" s="791"/>
      <c r="X94" s="791"/>
      <c r="Y94" s="791"/>
      <c r="Z94" s="792">
        <v>15</v>
      </c>
      <c r="AA94" s="790"/>
      <c r="AB94" s="790"/>
      <c r="AC94" s="790"/>
      <c r="AD94" s="791">
        <f>Z94/AA86</f>
        <v>1.3599274705349048E-2</v>
      </c>
      <c r="AE94" s="791"/>
      <c r="AF94" s="791"/>
      <c r="AG94" s="791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Y94" s="789"/>
      <c r="AZ94" s="789"/>
    </row>
    <row r="95" spans="1:54" s="1" customFormat="1" ht="15.6" customHeight="1" x14ac:dyDescent="0.15">
      <c r="A95" s="52"/>
      <c r="B95" s="771"/>
      <c r="C95" s="772"/>
      <c r="D95" s="773"/>
      <c r="E95" s="798" t="s">
        <v>55</v>
      </c>
      <c r="F95" s="798"/>
      <c r="G95" s="798"/>
      <c r="H95" s="798"/>
      <c r="I95" s="798"/>
      <c r="J95" s="790">
        <v>0</v>
      </c>
      <c r="K95" s="790"/>
      <c r="L95" s="790"/>
      <c r="M95" s="790"/>
      <c r="N95" s="791">
        <f>J95/SUM(J92:M96)</f>
        <v>0</v>
      </c>
      <c r="O95" s="791"/>
      <c r="P95" s="791"/>
      <c r="Q95" s="791"/>
      <c r="R95" s="790">
        <v>0</v>
      </c>
      <c r="S95" s="790"/>
      <c r="T95" s="790"/>
      <c r="U95" s="790"/>
      <c r="V95" s="791">
        <f>R95/SUM(R92:U96)</f>
        <v>0</v>
      </c>
      <c r="W95" s="791"/>
      <c r="X95" s="791"/>
      <c r="Y95" s="791"/>
      <c r="Z95" s="792">
        <v>0</v>
      </c>
      <c r="AA95" s="790"/>
      <c r="AB95" s="790"/>
      <c r="AC95" s="790"/>
      <c r="AD95" s="791">
        <v>0</v>
      </c>
      <c r="AE95" s="791"/>
      <c r="AF95" s="791"/>
      <c r="AG95" s="791"/>
      <c r="AH95" s="13"/>
      <c r="AI95" s="16"/>
      <c r="AJ95" s="16"/>
      <c r="AK95" s="799"/>
      <c r="AL95" s="799"/>
      <c r="AM95" s="799"/>
      <c r="AN95" s="13"/>
      <c r="AO95" s="13"/>
      <c r="AP95" s="72"/>
      <c r="AQ95" s="72"/>
      <c r="AR95" s="72"/>
      <c r="AS95" s="72"/>
      <c r="AT95" s="72"/>
      <c r="AU95" s="72"/>
      <c r="AV95" s="73"/>
      <c r="AW95" s="73"/>
      <c r="AX95" s="73"/>
      <c r="AY95" s="789"/>
      <c r="AZ95" s="789"/>
      <c r="BA95" s="73"/>
    </row>
    <row r="96" spans="1:54" s="1" customFormat="1" ht="15.6" customHeight="1" x14ac:dyDescent="0.15">
      <c r="A96" s="52"/>
      <c r="B96" s="774"/>
      <c r="C96" s="775"/>
      <c r="D96" s="776"/>
      <c r="E96" s="805" t="s">
        <v>56</v>
      </c>
      <c r="F96" s="805"/>
      <c r="G96" s="805"/>
      <c r="H96" s="805"/>
      <c r="I96" s="805"/>
      <c r="J96" s="806">
        <v>596</v>
      </c>
      <c r="K96" s="806"/>
      <c r="L96" s="806"/>
      <c r="M96" s="806"/>
      <c r="N96" s="807">
        <v>0.50700000000000001</v>
      </c>
      <c r="O96" s="807"/>
      <c r="P96" s="807"/>
      <c r="Q96" s="807"/>
      <c r="R96" s="806">
        <v>394</v>
      </c>
      <c r="S96" s="806"/>
      <c r="T96" s="806"/>
      <c r="U96" s="806"/>
      <c r="V96" s="807">
        <v>0.32600000000000001</v>
      </c>
      <c r="W96" s="807"/>
      <c r="X96" s="807"/>
      <c r="Y96" s="807"/>
      <c r="Z96" s="808">
        <v>491</v>
      </c>
      <c r="AA96" s="806"/>
      <c r="AB96" s="806"/>
      <c r="AC96" s="806"/>
      <c r="AD96" s="791">
        <v>0.44500000000000001</v>
      </c>
      <c r="AE96" s="791"/>
      <c r="AF96" s="791"/>
      <c r="AG96" s="791"/>
      <c r="AH96" s="13"/>
      <c r="AI96" s="13"/>
      <c r="AJ96" s="800"/>
      <c r="AK96" s="800"/>
      <c r="AL96" s="800"/>
      <c r="AM96" s="13"/>
      <c r="AN96" s="13"/>
      <c r="AO96" s="13"/>
      <c r="AP96" s="13"/>
      <c r="AQ96" s="13"/>
      <c r="AR96" s="13"/>
      <c r="AY96" s="789"/>
      <c r="AZ96" s="789"/>
      <c r="BA96" s="801"/>
      <c r="BB96" s="801"/>
    </row>
    <row r="97" spans="1:54" s="1" customFormat="1" ht="15.6" customHeight="1" x14ac:dyDescent="0.15">
      <c r="A97" s="52"/>
      <c r="B97" s="768" t="s">
        <v>75</v>
      </c>
      <c r="C97" s="769"/>
      <c r="D97" s="770"/>
      <c r="E97" s="777" t="s">
        <v>57</v>
      </c>
      <c r="F97" s="777"/>
      <c r="G97" s="777"/>
      <c r="H97" s="777"/>
      <c r="I97" s="777"/>
      <c r="J97" s="778">
        <v>181</v>
      </c>
      <c r="K97" s="778"/>
      <c r="L97" s="778"/>
      <c r="M97" s="778"/>
      <c r="N97" s="779">
        <f>J97/SUM(J97:M100)</f>
        <v>0.15417376490630325</v>
      </c>
      <c r="O97" s="779"/>
      <c r="P97" s="779"/>
      <c r="Q97" s="779"/>
      <c r="R97" s="778">
        <v>113</v>
      </c>
      <c r="S97" s="778"/>
      <c r="T97" s="778"/>
      <c r="U97" s="778"/>
      <c r="V97" s="779">
        <f>R97/SUM(R97:U100)</f>
        <v>9.3620546810273403E-2</v>
      </c>
      <c r="W97" s="779"/>
      <c r="X97" s="779"/>
      <c r="Y97" s="779"/>
      <c r="Z97" s="778">
        <v>86</v>
      </c>
      <c r="AA97" s="778"/>
      <c r="AB97" s="778"/>
      <c r="AC97" s="778"/>
      <c r="AD97" s="779">
        <f>Z97/AA86</f>
        <v>7.7969174977334549E-2</v>
      </c>
      <c r="AE97" s="779"/>
      <c r="AF97" s="779"/>
      <c r="AG97" s="779"/>
      <c r="AH97" s="13"/>
      <c r="AI97" s="13"/>
      <c r="AJ97" s="13"/>
      <c r="AK97" s="799"/>
      <c r="AL97" s="799"/>
      <c r="AM97" s="799"/>
      <c r="AN97" s="13"/>
      <c r="AO97" s="13"/>
      <c r="AP97" s="13"/>
      <c r="AQ97" s="13"/>
      <c r="AR97" s="13"/>
      <c r="AY97" s="789"/>
      <c r="AZ97" s="789"/>
    </row>
    <row r="98" spans="1:54" s="1" customFormat="1" ht="15.6" customHeight="1" x14ac:dyDescent="0.15">
      <c r="A98" s="52"/>
      <c r="B98" s="771"/>
      <c r="C98" s="772"/>
      <c r="D98" s="773"/>
      <c r="E98" s="784" t="s">
        <v>58</v>
      </c>
      <c r="F98" s="784"/>
      <c r="G98" s="784"/>
      <c r="H98" s="784"/>
      <c r="I98" s="784"/>
      <c r="J98" s="790">
        <v>59</v>
      </c>
      <c r="K98" s="790"/>
      <c r="L98" s="790"/>
      <c r="M98" s="790"/>
      <c r="N98" s="791">
        <f>J98/SUM(J97:M100)</f>
        <v>5.0255536626916522E-2</v>
      </c>
      <c r="O98" s="791"/>
      <c r="P98" s="791"/>
      <c r="Q98" s="791"/>
      <c r="R98" s="790">
        <v>62</v>
      </c>
      <c r="S98" s="790"/>
      <c r="T98" s="790"/>
      <c r="U98" s="790"/>
      <c r="V98" s="791">
        <f>R98/SUM(R97:U100)</f>
        <v>5.136702568351284E-2</v>
      </c>
      <c r="W98" s="791"/>
      <c r="X98" s="791"/>
      <c r="Y98" s="791"/>
      <c r="Z98" s="790">
        <v>57</v>
      </c>
      <c r="AA98" s="790"/>
      <c r="AB98" s="790"/>
      <c r="AC98" s="790"/>
      <c r="AD98" s="791">
        <f>Z98/AA86</f>
        <v>5.1677243880326386E-2</v>
      </c>
      <c r="AE98" s="791"/>
      <c r="AF98" s="791"/>
      <c r="AG98" s="791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Y98" s="789"/>
      <c r="AZ98" s="789"/>
    </row>
    <row r="99" spans="1:54" s="3" customFormat="1" ht="15.6" customHeight="1" x14ac:dyDescent="0.15">
      <c r="A99" s="52"/>
      <c r="B99" s="771"/>
      <c r="C99" s="772"/>
      <c r="D99" s="773"/>
      <c r="E99" s="784" t="s">
        <v>59</v>
      </c>
      <c r="F99" s="784"/>
      <c r="G99" s="784"/>
      <c r="H99" s="784"/>
      <c r="I99" s="784"/>
      <c r="J99" s="790">
        <v>286</v>
      </c>
      <c r="K99" s="790"/>
      <c r="L99" s="790"/>
      <c r="M99" s="790"/>
      <c r="N99" s="791">
        <f>J99/SUM(J97:M100)</f>
        <v>0.24361158432708688</v>
      </c>
      <c r="O99" s="791"/>
      <c r="P99" s="791"/>
      <c r="Q99" s="791"/>
      <c r="R99" s="790">
        <v>341</v>
      </c>
      <c r="S99" s="790"/>
      <c r="T99" s="790"/>
      <c r="U99" s="790"/>
      <c r="V99" s="791">
        <f>R99/SUM(R97:U100)</f>
        <v>0.28251864125932064</v>
      </c>
      <c r="W99" s="791"/>
      <c r="X99" s="791"/>
      <c r="Y99" s="791"/>
      <c r="Z99" s="790">
        <v>361</v>
      </c>
      <c r="AA99" s="790"/>
      <c r="AB99" s="790"/>
      <c r="AC99" s="790"/>
      <c r="AD99" s="791">
        <f>Z99/AA86</f>
        <v>0.32728921124206711</v>
      </c>
      <c r="AE99" s="791"/>
      <c r="AF99" s="791"/>
      <c r="AG99" s="791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4"/>
      <c r="AY99" s="789"/>
      <c r="AZ99" s="789"/>
    </row>
    <row r="100" spans="1:54" s="3" customFormat="1" ht="15.6" customHeight="1" x14ac:dyDescent="0.15">
      <c r="A100" s="52"/>
      <c r="B100" s="774"/>
      <c r="C100" s="775"/>
      <c r="D100" s="776"/>
      <c r="E100" s="805" t="s">
        <v>56</v>
      </c>
      <c r="F100" s="805"/>
      <c r="G100" s="805"/>
      <c r="H100" s="805"/>
      <c r="I100" s="805"/>
      <c r="J100" s="806">
        <v>648</v>
      </c>
      <c r="K100" s="806"/>
      <c r="L100" s="806"/>
      <c r="M100" s="806"/>
      <c r="N100" s="807">
        <v>0.55200000000000005</v>
      </c>
      <c r="O100" s="807"/>
      <c r="P100" s="807"/>
      <c r="Q100" s="807"/>
      <c r="R100" s="806">
        <v>691</v>
      </c>
      <c r="S100" s="806"/>
      <c r="T100" s="806"/>
      <c r="U100" s="806"/>
      <c r="V100" s="807">
        <f>R100/SUM(R97:U100)</f>
        <v>0.57249378624689318</v>
      </c>
      <c r="W100" s="807"/>
      <c r="X100" s="807"/>
      <c r="Y100" s="807"/>
      <c r="Z100" s="806">
        <v>599</v>
      </c>
      <c r="AA100" s="806"/>
      <c r="AB100" s="806"/>
      <c r="AC100" s="806"/>
      <c r="AD100" s="807">
        <v>0.54300000000000004</v>
      </c>
      <c r="AE100" s="807"/>
      <c r="AF100" s="807"/>
      <c r="AG100" s="807"/>
      <c r="AH100" s="13"/>
      <c r="AI100" s="13"/>
      <c r="AJ100" s="800"/>
      <c r="AK100" s="800"/>
      <c r="AL100" s="800"/>
      <c r="AM100" s="83"/>
      <c r="AN100" s="13"/>
      <c r="AO100" s="13"/>
      <c r="AP100" s="13"/>
      <c r="AQ100" s="13"/>
      <c r="AR100" s="14"/>
      <c r="AY100" s="789"/>
      <c r="AZ100" s="789"/>
      <c r="BA100" s="789"/>
      <c r="BB100" s="789"/>
    </row>
    <row r="101" spans="1:54" s="3" customFormat="1" ht="15.6" customHeight="1" x14ac:dyDescent="0.15">
      <c r="A101" s="55"/>
      <c r="Y101" s="2"/>
      <c r="Z101" s="2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4"/>
      <c r="AY101" s="79"/>
      <c r="AZ101" s="79"/>
    </row>
    <row r="102" spans="1:54" s="3" customFormat="1" ht="15.6" customHeight="1" x14ac:dyDescent="0.15">
      <c r="A102" s="55" t="s">
        <v>1</v>
      </c>
      <c r="AG102" s="4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4"/>
      <c r="AY102" s="79"/>
      <c r="AZ102" s="79"/>
    </row>
    <row r="103" spans="1:54" s="3" customFormat="1" ht="15.6" customHeight="1" x14ac:dyDescent="0.15">
      <c r="A103" s="50" t="s">
        <v>147</v>
      </c>
      <c r="AG103" s="4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4"/>
      <c r="AY103" s="79"/>
      <c r="AZ103" s="79"/>
    </row>
    <row r="104" spans="1:54" s="3" customFormat="1" ht="15.6" customHeight="1" x14ac:dyDescent="0.15">
      <c r="A104" s="55"/>
      <c r="B104" s="595" t="s">
        <v>14</v>
      </c>
      <c r="C104" s="595"/>
      <c r="D104" s="595" t="s">
        <v>15</v>
      </c>
      <c r="E104" s="595"/>
      <c r="F104" s="595"/>
      <c r="G104" s="595"/>
      <c r="H104" s="595"/>
      <c r="I104" s="595" t="s">
        <v>16</v>
      </c>
      <c r="J104" s="595"/>
      <c r="K104" s="595"/>
      <c r="L104" s="595"/>
      <c r="M104" s="595"/>
      <c r="N104" s="595" t="s">
        <v>17</v>
      </c>
      <c r="O104" s="595"/>
      <c r="P104" s="595"/>
      <c r="Q104" s="595"/>
      <c r="R104" s="595"/>
      <c r="S104" s="595" t="s">
        <v>18</v>
      </c>
      <c r="T104" s="595"/>
      <c r="U104" s="595"/>
      <c r="V104" s="595"/>
      <c r="W104" s="595"/>
      <c r="X104" s="595" t="s">
        <v>19</v>
      </c>
      <c r="Y104" s="595"/>
      <c r="Z104" s="595"/>
      <c r="AA104" s="595"/>
      <c r="AB104" s="595"/>
      <c r="AC104" s="595" t="s">
        <v>20</v>
      </c>
      <c r="AD104" s="595"/>
      <c r="AE104" s="595"/>
      <c r="AF104" s="595"/>
      <c r="AG104" s="7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Y104" s="79"/>
      <c r="AZ104" s="79"/>
    </row>
    <row r="105" spans="1:54" ht="15.6" customHeight="1" x14ac:dyDescent="0.15">
      <c r="A105" s="52"/>
      <c r="B105" s="815" t="s">
        <v>9</v>
      </c>
      <c r="C105" s="815"/>
      <c r="D105" s="816">
        <v>74</v>
      </c>
      <c r="E105" s="816"/>
      <c r="F105" s="816"/>
      <c r="G105" s="816"/>
      <c r="H105" s="816"/>
      <c r="I105" s="816">
        <v>1</v>
      </c>
      <c r="J105" s="816"/>
      <c r="K105" s="816"/>
      <c r="L105" s="816"/>
      <c r="M105" s="816"/>
      <c r="N105" s="816">
        <v>2</v>
      </c>
      <c r="O105" s="816"/>
      <c r="P105" s="816"/>
      <c r="Q105" s="816"/>
      <c r="R105" s="816"/>
      <c r="S105" s="816">
        <v>71</v>
      </c>
      <c r="T105" s="816"/>
      <c r="U105" s="816"/>
      <c r="V105" s="816"/>
      <c r="W105" s="816"/>
      <c r="X105" s="816">
        <v>45</v>
      </c>
      <c r="Y105" s="816"/>
      <c r="Z105" s="816"/>
      <c r="AA105" s="816"/>
      <c r="AB105" s="816"/>
      <c r="AC105" s="816">
        <f>S105-X105</f>
        <v>26</v>
      </c>
      <c r="AD105" s="816"/>
      <c r="AE105" s="816"/>
      <c r="AF105" s="816"/>
    </row>
    <row r="106" spans="1:54" ht="15.6" customHeight="1" x14ac:dyDescent="0.15">
      <c r="A106" s="50" t="s">
        <v>165</v>
      </c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</row>
    <row r="107" spans="1:54" ht="15.6" customHeight="1" x14ac:dyDescent="0.15">
      <c r="A107" s="55"/>
      <c r="B107" s="595" t="s">
        <v>14</v>
      </c>
      <c r="C107" s="595"/>
      <c r="D107" s="595" t="s">
        <v>15</v>
      </c>
      <c r="E107" s="595"/>
      <c r="F107" s="595"/>
      <c r="G107" s="595"/>
      <c r="H107" s="595"/>
      <c r="I107" s="595" t="s">
        <v>16</v>
      </c>
      <c r="J107" s="595"/>
      <c r="K107" s="595"/>
      <c r="L107" s="595"/>
      <c r="M107" s="595"/>
      <c r="N107" s="595" t="s">
        <v>17</v>
      </c>
      <c r="O107" s="595"/>
      <c r="P107" s="595"/>
      <c r="Q107" s="595"/>
      <c r="R107" s="595"/>
      <c r="S107" s="595" t="s">
        <v>18</v>
      </c>
      <c r="T107" s="595"/>
      <c r="U107" s="595"/>
      <c r="V107" s="595"/>
      <c r="W107" s="595"/>
      <c r="X107" s="595" t="s">
        <v>19</v>
      </c>
      <c r="Y107" s="595"/>
      <c r="Z107" s="595"/>
      <c r="AA107" s="595"/>
      <c r="AB107" s="595"/>
      <c r="AC107" s="595" t="s">
        <v>20</v>
      </c>
      <c r="AD107" s="595"/>
      <c r="AE107" s="595"/>
      <c r="AF107" s="595"/>
    </row>
    <row r="108" spans="1:54" s="7" customFormat="1" ht="15.6" customHeight="1" x14ac:dyDescent="0.15">
      <c r="A108" s="13"/>
      <c r="B108" s="827" t="s">
        <v>9</v>
      </c>
      <c r="C108" s="827"/>
      <c r="D108" s="746">
        <v>46</v>
      </c>
      <c r="E108" s="746"/>
      <c r="F108" s="746"/>
      <c r="G108" s="746"/>
      <c r="H108" s="746"/>
      <c r="I108" s="746">
        <v>2</v>
      </c>
      <c r="J108" s="746"/>
      <c r="K108" s="746"/>
      <c r="L108" s="746"/>
      <c r="M108" s="746"/>
      <c r="N108" s="746">
        <v>0</v>
      </c>
      <c r="O108" s="746"/>
      <c r="P108" s="746"/>
      <c r="Q108" s="746"/>
      <c r="R108" s="746"/>
      <c r="S108" s="746">
        <v>43</v>
      </c>
      <c r="T108" s="746"/>
      <c r="U108" s="746"/>
      <c r="V108" s="746"/>
      <c r="W108" s="746"/>
      <c r="X108" s="746">
        <v>19</v>
      </c>
      <c r="Y108" s="746"/>
      <c r="Z108" s="746"/>
      <c r="AA108" s="746"/>
      <c r="AB108" s="746"/>
      <c r="AC108" s="746">
        <f>S108-X108</f>
        <v>24</v>
      </c>
      <c r="AD108" s="746"/>
      <c r="AE108" s="746"/>
      <c r="AF108" s="746"/>
      <c r="AY108" s="80"/>
      <c r="AZ108" s="80"/>
    </row>
    <row r="110" spans="1:54" ht="15.6" customHeight="1" x14ac:dyDescent="0.15">
      <c r="I110" s="820"/>
      <c r="J110" s="819"/>
      <c r="K110" s="819"/>
      <c r="L110" s="819"/>
      <c r="S110" s="820"/>
      <c r="T110" s="819"/>
      <c r="U110" s="819"/>
      <c r="V110" s="819"/>
      <c r="Z110" s="820"/>
      <c r="AA110" s="819"/>
      <c r="AB110" s="819"/>
      <c r="AC110" s="819"/>
    </row>
    <row r="111" spans="1:54" ht="15.6" customHeight="1" x14ac:dyDescent="0.15">
      <c r="D111" s="19"/>
      <c r="I111" s="819"/>
      <c r="J111" s="819"/>
      <c r="K111" s="819"/>
      <c r="L111" s="819"/>
      <c r="M111" s="819"/>
      <c r="N111" s="821"/>
      <c r="O111" s="821"/>
      <c r="P111" s="821"/>
      <c r="Q111" s="821"/>
      <c r="R111" s="819"/>
      <c r="S111" s="819"/>
      <c r="T111" s="819"/>
      <c r="U111" s="819"/>
      <c r="Z111" s="819"/>
      <c r="AA111" s="819"/>
      <c r="AB111" s="819"/>
      <c r="AC111" s="819"/>
    </row>
    <row r="112" spans="1:54" ht="15.6" customHeight="1" x14ac:dyDescent="0.15">
      <c r="I112" s="819"/>
      <c r="J112" s="819"/>
      <c r="K112" s="819"/>
      <c r="L112" s="819"/>
      <c r="M112" s="819"/>
      <c r="N112" s="819"/>
      <c r="O112" s="819"/>
      <c r="P112" s="819"/>
      <c r="Q112" s="819"/>
      <c r="R112" s="819"/>
      <c r="S112" s="819"/>
      <c r="T112" s="819"/>
      <c r="U112" s="819"/>
      <c r="Z112" s="819"/>
      <c r="AA112" s="819"/>
      <c r="AB112" s="819"/>
      <c r="AC112" s="819"/>
    </row>
    <row r="113" spans="4:29" ht="15.6" customHeight="1" x14ac:dyDescent="0.15">
      <c r="D113" s="19"/>
      <c r="I113" s="819"/>
      <c r="J113" s="819"/>
      <c r="K113" s="819"/>
      <c r="L113" s="819"/>
      <c r="M113" s="819"/>
      <c r="N113" s="819"/>
      <c r="O113" s="819"/>
      <c r="P113" s="819"/>
      <c r="Q113" s="819"/>
      <c r="R113" s="819"/>
      <c r="S113" s="819"/>
      <c r="T113" s="819"/>
      <c r="U113" s="819"/>
      <c r="Z113" s="819"/>
      <c r="AA113" s="819"/>
      <c r="AB113" s="819"/>
      <c r="AC113" s="819"/>
    </row>
  </sheetData>
  <mergeCells count="481">
    <mergeCell ref="B11:H12"/>
    <mergeCell ref="I11:M12"/>
    <mergeCell ref="N11:R12"/>
    <mergeCell ref="S11:W12"/>
    <mergeCell ref="A1:AG2"/>
    <mergeCell ref="AA3:AG4"/>
    <mergeCell ref="AA5:AG5"/>
    <mergeCell ref="B6:D6"/>
    <mergeCell ref="F6:L6"/>
    <mergeCell ref="M6:O6"/>
    <mergeCell ref="Y11:AA11"/>
    <mergeCell ref="AC11:AG12"/>
    <mergeCell ref="Y12:AA12"/>
    <mergeCell ref="I7:M7"/>
    <mergeCell ref="I8:M8"/>
    <mergeCell ref="V8:X8"/>
    <mergeCell ref="AH15:AK15"/>
    <mergeCell ref="AH13:AK13"/>
    <mergeCell ref="I14:M14"/>
    <mergeCell ref="N14:R14"/>
    <mergeCell ref="S14:W14"/>
    <mergeCell ref="X14:AA14"/>
    <mergeCell ref="AC14:AG14"/>
    <mergeCell ref="AH14:AK14"/>
    <mergeCell ref="AH16:AK16"/>
    <mergeCell ref="I13:M13"/>
    <mergeCell ref="N13:R13"/>
    <mergeCell ref="S13:W13"/>
    <mergeCell ref="X13:AA13"/>
    <mergeCell ref="AC13:AG13"/>
    <mergeCell ref="I15:M15"/>
    <mergeCell ref="N15:R15"/>
    <mergeCell ref="S15:W15"/>
    <mergeCell ref="X15:AA15"/>
    <mergeCell ref="AC15:AG15"/>
    <mergeCell ref="B17:H17"/>
    <mergeCell ref="I17:M17"/>
    <mergeCell ref="N17:R17"/>
    <mergeCell ref="S17:W17"/>
    <mergeCell ref="X17:AA17"/>
    <mergeCell ref="AC17:AG17"/>
    <mergeCell ref="AH17:AK17"/>
    <mergeCell ref="B16:H16"/>
    <mergeCell ref="I16:M16"/>
    <mergeCell ref="N16:R16"/>
    <mergeCell ref="S16:W16"/>
    <mergeCell ref="X16:AA16"/>
    <mergeCell ref="AC16:AG16"/>
    <mergeCell ref="AH18:AK18"/>
    <mergeCell ref="AX18:AY18"/>
    <mergeCell ref="D19:H19"/>
    <mergeCell ref="I19:M19"/>
    <mergeCell ref="N19:R19"/>
    <mergeCell ref="B23:C23"/>
    <mergeCell ref="D23:H23"/>
    <mergeCell ref="I23:M23"/>
    <mergeCell ref="N23:R23"/>
    <mergeCell ref="S23:X23"/>
    <mergeCell ref="B18:H18"/>
    <mergeCell ref="I18:M18"/>
    <mergeCell ref="N18:R18"/>
    <mergeCell ref="S18:W18"/>
    <mergeCell ref="X18:AA18"/>
    <mergeCell ref="AC18:AG18"/>
    <mergeCell ref="Y23:AD23"/>
    <mergeCell ref="AE23:AG23"/>
    <mergeCell ref="AE24:AG24"/>
    <mergeCell ref="AC27:AD27"/>
    <mergeCell ref="D28:G28"/>
    <mergeCell ref="L28:M28"/>
    <mergeCell ref="Q28:R28"/>
    <mergeCell ref="W28:X28"/>
    <mergeCell ref="AC28:AD28"/>
    <mergeCell ref="AC25:AD25"/>
    <mergeCell ref="D26:G26"/>
    <mergeCell ref="L26:M26"/>
    <mergeCell ref="Q26:R26"/>
    <mergeCell ref="W26:X26"/>
    <mergeCell ref="AC26:AD26"/>
    <mergeCell ref="D25:F25"/>
    <mergeCell ref="G25:H25"/>
    <mergeCell ref="L25:M25"/>
    <mergeCell ref="Q25:R25"/>
    <mergeCell ref="W25:X25"/>
    <mergeCell ref="Q29:R29"/>
    <mergeCell ref="W29:X29"/>
    <mergeCell ref="AC29:AD29"/>
    <mergeCell ref="W30:X30"/>
    <mergeCell ref="AC30:AD30"/>
    <mergeCell ref="B24:C24"/>
    <mergeCell ref="D24:H24"/>
    <mergeCell ref="I24:M24"/>
    <mergeCell ref="N24:R24"/>
    <mergeCell ref="S24:X24"/>
    <mergeCell ref="Y24:AD24"/>
    <mergeCell ref="AJ38:AM38"/>
    <mergeCell ref="W34:X34"/>
    <mergeCell ref="AC34:AD34"/>
    <mergeCell ref="D35:G35"/>
    <mergeCell ref="W35:X35"/>
    <mergeCell ref="AC35:AD35"/>
    <mergeCell ref="B37:C37"/>
    <mergeCell ref="D37:H37"/>
    <mergeCell ref="I37:M37"/>
    <mergeCell ref="N37:R37"/>
    <mergeCell ref="S37:X37"/>
    <mergeCell ref="B25:C35"/>
    <mergeCell ref="Y37:AD37"/>
    <mergeCell ref="D27:G27"/>
    <mergeCell ref="L27:M27"/>
    <mergeCell ref="Q27:R27"/>
    <mergeCell ref="W27:X27"/>
    <mergeCell ref="W31:X31"/>
    <mergeCell ref="AC31:AD31"/>
    <mergeCell ref="W32:X32"/>
    <mergeCell ref="AC32:AD32"/>
    <mergeCell ref="W33:X33"/>
    <mergeCell ref="AC33:AD33"/>
    <mergeCell ref="D29:G29"/>
    <mergeCell ref="AC41:AD41"/>
    <mergeCell ref="AE37:AG37"/>
    <mergeCell ref="B38:C38"/>
    <mergeCell ref="D38:H38"/>
    <mergeCell ref="I38:M38"/>
    <mergeCell ref="N38:R38"/>
    <mergeCell ref="S38:X38"/>
    <mergeCell ref="Y38:AD38"/>
    <mergeCell ref="AE38:AG38"/>
    <mergeCell ref="W47:X47"/>
    <mergeCell ref="AC47:AD47"/>
    <mergeCell ref="D43:G43"/>
    <mergeCell ref="Q43:R43"/>
    <mergeCell ref="W43:X43"/>
    <mergeCell ref="AC43:AD43"/>
    <mergeCell ref="W44:X44"/>
    <mergeCell ref="AC44:AD44"/>
    <mergeCell ref="AJ39:AM39"/>
    <mergeCell ref="D40:G40"/>
    <mergeCell ref="AJ41:AM41"/>
    <mergeCell ref="D42:G42"/>
    <mergeCell ref="L42:M42"/>
    <mergeCell ref="Q42:R42"/>
    <mergeCell ref="W42:X42"/>
    <mergeCell ref="AC42:AD42"/>
    <mergeCell ref="L40:M40"/>
    <mergeCell ref="Q40:R40"/>
    <mergeCell ref="W40:X40"/>
    <mergeCell ref="AC40:AD40"/>
    <mergeCell ref="D41:G41"/>
    <mergeCell ref="L41:M41"/>
    <mergeCell ref="Q41:R41"/>
    <mergeCell ref="W41:X41"/>
    <mergeCell ref="W48:X48"/>
    <mergeCell ref="AC48:AD48"/>
    <mergeCell ref="D49:G49"/>
    <mergeCell ref="W49:X49"/>
    <mergeCell ref="AC49:AD49"/>
    <mergeCell ref="B56:E56"/>
    <mergeCell ref="F56:I56"/>
    <mergeCell ref="J56:M56"/>
    <mergeCell ref="N56:Q56"/>
    <mergeCell ref="R56:U56"/>
    <mergeCell ref="B39:C49"/>
    <mergeCell ref="D39:F39"/>
    <mergeCell ref="G39:H39"/>
    <mergeCell ref="L39:M39"/>
    <mergeCell ref="Q39:R39"/>
    <mergeCell ref="W39:X39"/>
    <mergeCell ref="AC39:AD39"/>
    <mergeCell ref="V56:Y56"/>
    <mergeCell ref="Z56:AC56"/>
    <mergeCell ref="AD56:AG56"/>
    <mergeCell ref="W45:X45"/>
    <mergeCell ref="AC45:AD45"/>
    <mergeCell ref="W46:X46"/>
    <mergeCell ref="AC46:AD46"/>
    <mergeCell ref="F57:I57"/>
    <mergeCell ref="J57:M57"/>
    <mergeCell ref="N57:Q57"/>
    <mergeCell ref="R57:U57"/>
    <mergeCell ref="V57:Y57"/>
    <mergeCell ref="Z57:AC57"/>
    <mergeCell ref="AQ58:AR58"/>
    <mergeCell ref="B59:E60"/>
    <mergeCell ref="F59:I59"/>
    <mergeCell ref="J59:M59"/>
    <mergeCell ref="N59:Q59"/>
    <mergeCell ref="R59:U59"/>
    <mergeCell ref="V59:Y59"/>
    <mergeCell ref="Z59:AC59"/>
    <mergeCell ref="AD59:AG59"/>
    <mergeCell ref="AQ59:AR59"/>
    <mergeCell ref="B57:E58"/>
    <mergeCell ref="AD60:AG60"/>
    <mergeCell ref="AQ60:AR60"/>
    <mergeCell ref="AD57:AG57"/>
    <mergeCell ref="F58:I58"/>
    <mergeCell ref="J58:M58"/>
    <mergeCell ref="N58:Q58"/>
    <mergeCell ref="R58:U58"/>
    <mergeCell ref="V58:Y58"/>
    <mergeCell ref="Z58:AC58"/>
    <mergeCell ref="AD58:AG58"/>
    <mergeCell ref="B61:E62"/>
    <mergeCell ref="F61:I61"/>
    <mergeCell ref="J61:M61"/>
    <mergeCell ref="N61:Q61"/>
    <mergeCell ref="R61:U61"/>
    <mergeCell ref="V61:Y61"/>
    <mergeCell ref="Z61:AC61"/>
    <mergeCell ref="AD61:AG61"/>
    <mergeCell ref="F60:I60"/>
    <mergeCell ref="J60:M60"/>
    <mergeCell ref="N60:Q60"/>
    <mergeCell ref="R60:U60"/>
    <mergeCell ref="V60:Y60"/>
    <mergeCell ref="Z60:AC60"/>
    <mergeCell ref="B65:D66"/>
    <mergeCell ref="E65:G66"/>
    <mergeCell ref="H65:J66"/>
    <mergeCell ref="K65:L66"/>
    <mergeCell ref="M65:N66"/>
    <mergeCell ref="O65:Q66"/>
    <mergeCell ref="R65:S66"/>
    <mergeCell ref="T65:U66"/>
    <mergeCell ref="AQ61:AR61"/>
    <mergeCell ref="F62:I62"/>
    <mergeCell ref="J62:M62"/>
    <mergeCell ref="N62:Q62"/>
    <mergeCell ref="R62:U62"/>
    <mergeCell ref="V62:Y62"/>
    <mergeCell ref="Z62:AC62"/>
    <mergeCell ref="AD62:AG62"/>
    <mergeCell ref="AQ62:AR62"/>
    <mergeCell ref="V65:W66"/>
    <mergeCell ref="X65:Y66"/>
    <mergeCell ref="Z65:AB66"/>
    <mergeCell ref="AC65:AD66"/>
    <mergeCell ref="AE65:AG66"/>
    <mergeCell ref="AQ65:AR65"/>
    <mergeCell ref="AQ66:AR66"/>
    <mergeCell ref="AQ63:AR63"/>
    <mergeCell ref="AQ64:AR64"/>
    <mergeCell ref="B69:D70"/>
    <mergeCell ref="E69:G70"/>
    <mergeCell ref="H69:J70"/>
    <mergeCell ref="K69:L70"/>
    <mergeCell ref="M69:N70"/>
    <mergeCell ref="O69:Q70"/>
    <mergeCell ref="R69:S70"/>
    <mergeCell ref="R67:S68"/>
    <mergeCell ref="T67:U68"/>
    <mergeCell ref="B67:D68"/>
    <mergeCell ref="E67:G68"/>
    <mergeCell ref="H67:J68"/>
    <mergeCell ref="K67:L68"/>
    <mergeCell ref="M67:N68"/>
    <mergeCell ref="O67:Q68"/>
    <mergeCell ref="T69:U70"/>
    <mergeCell ref="V69:W70"/>
    <mergeCell ref="X69:Y70"/>
    <mergeCell ref="Z69:AB70"/>
    <mergeCell ref="AC69:AD70"/>
    <mergeCell ref="AE69:AG70"/>
    <mergeCell ref="AE67:AG68"/>
    <mergeCell ref="AQ67:AR67"/>
    <mergeCell ref="AQ68:AR68"/>
    <mergeCell ref="V67:W68"/>
    <mergeCell ref="X67:Y68"/>
    <mergeCell ref="Z67:AB68"/>
    <mergeCell ref="AC67:AD68"/>
    <mergeCell ref="AE71:AG72"/>
    <mergeCell ref="B73:D73"/>
    <mergeCell ref="E73:G73"/>
    <mergeCell ref="H73:J73"/>
    <mergeCell ref="K73:L73"/>
    <mergeCell ref="M73:N73"/>
    <mergeCell ref="O73:Q73"/>
    <mergeCell ref="R73:S73"/>
    <mergeCell ref="T73:U73"/>
    <mergeCell ref="V73:W73"/>
    <mergeCell ref="R71:S72"/>
    <mergeCell ref="T71:U72"/>
    <mergeCell ref="V71:W72"/>
    <mergeCell ref="X71:Y72"/>
    <mergeCell ref="Z71:AB72"/>
    <mergeCell ref="AC71:AD72"/>
    <mergeCell ref="B71:D72"/>
    <mergeCell ref="E71:G72"/>
    <mergeCell ref="H71:J72"/>
    <mergeCell ref="K71:L72"/>
    <mergeCell ref="M71:N72"/>
    <mergeCell ref="O71:Q72"/>
    <mergeCell ref="X73:Y73"/>
    <mergeCell ref="Z73:AB73"/>
    <mergeCell ref="AC73:AD73"/>
    <mergeCell ref="AE73:AG73"/>
    <mergeCell ref="B76:G77"/>
    <mergeCell ref="H76:Y76"/>
    <mergeCell ref="Z76:AG77"/>
    <mergeCell ref="H77:M77"/>
    <mergeCell ref="N77:S77"/>
    <mergeCell ref="T77:Y77"/>
    <mergeCell ref="B78:G78"/>
    <mergeCell ref="H78:M78"/>
    <mergeCell ref="N78:S78"/>
    <mergeCell ref="T78:Y78"/>
    <mergeCell ref="Z78:AG78"/>
    <mergeCell ref="B79:G79"/>
    <mergeCell ref="H79:M79"/>
    <mergeCell ref="N79:S79"/>
    <mergeCell ref="T79:Y79"/>
    <mergeCell ref="Z79:AG79"/>
    <mergeCell ref="B80:G80"/>
    <mergeCell ref="H80:M80"/>
    <mergeCell ref="N80:S80"/>
    <mergeCell ref="T80:Y80"/>
    <mergeCell ref="Z80:AG80"/>
    <mergeCell ref="B81:G81"/>
    <mergeCell ref="H81:M81"/>
    <mergeCell ref="N81:S81"/>
    <mergeCell ref="T81:Y81"/>
    <mergeCell ref="Z81:AG81"/>
    <mergeCell ref="B82:G82"/>
    <mergeCell ref="H82:M82"/>
    <mergeCell ref="N82:S82"/>
    <mergeCell ref="T82:Y82"/>
    <mergeCell ref="Z82:AG82"/>
    <mergeCell ref="B85:F85"/>
    <mergeCell ref="G85:K85"/>
    <mergeCell ref="L85:P85"/>
    <mergeCell ref="Q85:U85"/>
    <mergeCell ref="V85:Z85"/>
    <mergeCell ref="AI86:AK86"/>
    <mergeCell ref="B87:F87"/>
    <mergeCell ref="G87:K87"/>
    <mergeCell ref="L87:P87"/>
    <mergeCell ref="Q87:U87"/>
    <mergeCell ref="V87:Z87"/>
    <mergeCell ref="AA87:AE87"/>
    <mergeCell ref="AA85:AE85"/>
    <mergeCell ref="B86:F86"/>
    <mergeCell ref="G86:K86"/>
    <mergeCell ref="L86:P86"/>
    <mergeCell ref="Q86:U86"/>
    <mergeCell ref="V86:Z86"/>
    <mergeCell ref="AA86:AE86"/>
    <mergeCell ref="AD91:AG91"/>
    <mergeCell ref="B92:D96"/>
    <mergeCell ref="E92:I92"/>
    <mergeCell ref="J92:M92"/>
    <mergeCell ref="N92:Q92"/>
    <mergeCell ref="R92:U92"/>
    <mergeCell ref="V92:Y92"/>
    <mergeCell ref="Z92:AC92"/>
    <mergeCell ref="AD92:AG92"/>
    <mergeCell ref="E94:I94"/>
    <mergeCell ref="B90:D91"/>
    <mergeCell ref="E90:I91"/>
    <mergeCell ref="J90:Q90"/>
    <mergeCell ref="R90:Y90"/>
    <mergeCell ref="Z90:AG90"/>
    <mergeCell ref="J91:M91"/>
    <mergeCell ref="N91:Q91"/>
    <mergeCell ref="R91:U91"/>
    <mergeCell ref="V91:Y91"/>
    <mergeCell ref="Z91:AC91"/>
    <mergeCell ref="AD96:AG96"/>
    <mergeCell ref="AY92:AZ92"/>
    <mergeCell ref="E93:I93"/>
    <mergeCell ref="J93:M93"/>
    <mergeCell ref="N93:Q93"/>
    <mergeCell ref="R93:U93"/>
    <mergeCell ref="V93:Y93"/>
    <mergeCell ref="Z93:AC93"/>
    <mergeCell ref="AD93:AG93"/>
    <mergeCell ref="AY93:AZ93"/>
    <mergeCell ref="AY94:AZ94"/>
    <mergeCell ref="E95:I95"/>
    <mergeCell ref="J95:M95"/>
    <mergeCell ref="N95:Q95"/>
    <mergeCell ref="R95:U95"/>
    <mergeCell ref="V95:Y95"/>
    <mergeCell ref="Z95:AC95"/>
    <mergeCell ref="AD95:AG95"/>
    <mergeCell ref="AK95:AM95"/>
    <mergeCell ref="AY95:AZ95"/>
    <mergeCell ref="J94:M94"/>
    <mergeCell ref="N94:Q94"/>
    <mergeCell ref="R94:U94"/>
    <mergeCell ref="V94:Y94"/>
    <mergeCell ref="Z94:AC94"/>
    <mergeCell ref="AD94:AG94"/>
    <mergeCell ref="AJ96:AL96"/>
    <mergeCell ref="AY96:AZ96"/>
    <mergeCell ref="BA96:BB96"/>
    <mergeCell ref="B97:D100"/>
    <mergeCell ref="E97:I97"/>
    <mergeCell ref="J97:M97"/>
    <mergeCell ref="N97:Q97"/>
    <mergeCell ref="R97:U97"/>
    <mergeCell ref="V97:Y97"/>
    <mergeCell ref="E96:I96"/>
    <mergeCell ref="J96:M96"/>
    <mergeCell ref="N96:Q96"/>
    <mergeCell ref="R96:U96"/>
    <mergeCell ref="V96:Y96"/>
    <mergeCell ref="Z96:AC96"/>
    <mergeCell ref="Z97:AC97"/>
    <mergeCell ref="AD97:AG97"/>
    <mergeCell ref="AK97:AM97"/>
    <mergeCell ref="AY97:AZ97"/>
    <mergeCell ref="E98:I98"/>
    <mergeCell ref="J98:M98"/>
    <mergeCell ref="N98:Q98"/>
    <mergeCell ref="R98:U98"/>
    <mergeCell ref="V98:Y98"/>
    <mergeCell ref="Z98:AC98"/>
    <mergeCell ref="AD98:AG98"/>
    <mergeCell ref="AY98:AZ98"/>
    <mergeCell ref="E99:I99"/>
    <mergeCell ref="J99:M99"/>
    <mergeCell ref="N99:Q99"/>
    <mergeCell ref="R99:U99"/>
    <mergeCell ref="V99:Y99"/>
    <mergeCell ref="Z99:AC99"/>
    <mergeCell ref="AD99:AG99"/>
    <mergeCell ref="AY99:AZ99"/>
    <mergeCell ref="AJ100:AL100"/>
    <mergeCell ref="AY100:AZ100"/>
    <mergeCell ref="BA100:BB100"/>
    <mergeCell ref="B104:C104"/>
    <mergeCell ref="D104:H104"/>
    <mergeCell ref="I104:M104"/>
    <mergeCell ref="N104:R104"/>
    <mergeCell ref="S104:W104"/>
    <mergeCell ref="X104:AB104"/>
    <mergeCell ref="E100:I100"/>
    <mergeCell ref="J100:M100"/>
    <mergeCell ref="N100:Q100"/>
    <mergeCell ref="R100:U100"/>
    <mergeCell ref="V100:Y100"/>
    <mergeCell ref="Z100:AC100"/>
    <mergeCell ref="AC104:AF104"/>
    <mergeCell ref="B105:C105"/>
    <mergeCell ref="D105:H105"/>
    <mergeCell ref="I105:M105"/>
    <mergeCell ref="N105:R105"/>
    <mergeCell ref="S105:W105"/>
    <mergeCell ref="X105:AB105"/>
    <mergeCell ref="AC105:AF105"/>
    <mergeCell ref="AD100:AG100"/>
    <mergeCell ref="AC107:AF107"/>
    <mergeCell ref="B108:C108"/>
    <mergeCell ref="D108:H108"/>
    <mergeCell ref="I108:M108"/>
    <mergeCell ref="N108:R108"/>
    <mergeCell ref="S108:W108"/>
    <mergeCell ref="X108:AB108"/>
    <mergeCell ref="AC108:AF108"/>
    <mergeCell ref="B107:C107"/>
    <mergeCell ref="D107:H107"/>
    <mergeCell ref="I107:M107"/>
    <mergeCell ref="N107:R107"/>
    <mergeCell ref="S107:W107"/>
    <mergeCell ref="X107:AB107"/>
    <mergeCell ref="I112:M112"/>
    <mergeCell ref="N112:Q112"/>
    <mergeCell ref="R112:U112"/>
    <mergeCell ref="Z112:AC112"/>
    <mergeCell ref="I113:M113"/>
    <mergeCell ref="N113:Q113"/>
    <mergeCell ref="R113:U113"/>
    <mergeCell ref="Z113:AC113"/>
    <mergeCell ref="I110:L110"/>
    <mergeCell ref="S110:V110"/>
    <mergeCell ref="Z110:AC110"/>
    <mergeCell ref="I111:M111"/>
    <mergeCell ref="N111:Q111"/>
    <mergeCell ref="R111:U111"/>
    <mergeCell ref="Z111:AC111"/>
  </mergeCells>
  <phoneticPr fontId="9"/>
  <pageMargins left="0.59055118110236227" right="0.39370078740157483" top="0.39370078740157483" bottom="0.39370078740157483" header="0" footer="0"/>
  <pageSetup paperSize="9" scale="99" orientation="portrait" copies="9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T113"/>
  <sheetViews>
    <sheetView tabSelected="1" view="pageBreakPreview" zoomScaleNormal="100" zoomScaleSheetLayoutView="100" workbookViewId="0">
      <selection activeCell="AA5" sqref="AA5:AG5"/>
    </sheetView>
  </sheetViews>
  <sheetFormatPr defaultColWidth="2.625" defaultRowHeight="15.6" customHeight="1" x14ac:dyDescent="0.15"/>
  <cols>
    <col min="1" max="1" width="2.625" style="69"/>
    <col min="2" max="29" width="2.625" style="4"/>
    <col min="30" max="30" width="2.625" style="4" customWidth="1"/>
    <col min="31" max="33" width="2.625" style="4"/>
    <col min="34" max="35" width="2.625" style="7"/>
    <col min="36" max="36" width="8.5" style="7" bestFit="1" customWidth="1"/>
    <col min="37" max="37" width="3.5" style="7" bestFit="1" customWidth="1"/>
    <col min="38" max="42" width="2.625" style="7"/>
    <col min="43" max="43" width="3.5" style="7" bestFit="1" customWidth="1"/>
    <col min="44" max="47" width="2.625" style="7"/>
    <col min="48" max="50" width="2.625" style="4"/>
    <col min="51" max="52" width="2.625" style="79"/>
    <col min="53" max="16384" width="2.625" style="4"/>
  </cols>
  <sheetData>
    <row r="1" spans="1:52" ht="15.6" customHeight="1" x14ac:dyDescent="0.15">
      <c r="A1" s="562" t="s">
        <v>6</v>
      </c>
      <c r="B1" s="562"/>
      <c r="C1" s="562"/>
      <c r="D1" s="562"/>
      <c r="E1" s="562"/>
      <c r="F1" s="562"/>
      <c r="G1" s="562"/>
      <c r="H1" s="562"/>
      <c r="I1" s="562"/>
      <c r="J1" s="562"/>
      <c r="K1" s="562"/>
      <c r="L1" s="562"/>
      <c r="M1" s="562"/>
      <c r="N1" s="562"/>
      <c r="O1" s="562"/>
      <c r="P1" s="562"/>
      <c r="Q1" s="562"/>
      <c r="R1" s="562"/>
      <c r="S1" s="562"/>
      <c r="T1" s="562"/>
      <c r="U1" s="562"/>
      <c r="V1" s="562"/>
      <c r="W1" s="562"/>
      <c r="X1" s="562"/>
      <c r="Y1" s="562"/>
      <c r="Z1" s="562"/>
      <c r="AA1" s="562"/>
      <c r="AB1" s="562"/>
      <c r="AC1" s="562"/>
      <c r="AD1" s="562"/>
      <c r="AE1" s="562"/>
      <c r="AF1" s="562"/>
      <c r="AG1" s="562"/>
      <c r="AH1" s="20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</row>
    <row r="2" spans="1:52" ht="15.6" customHeight="1" x14ac:dyDescent="0.15">
      <c r="A2" s="562"/>
      <c r="B2" s="562"/>
      <c r="C2" s="562"/>
      <c r="D2" s="562"/>
      <c r="E2" s="562"/>
      <c r="F2" s="562"/>
      <c r="G2" s="562"/>
      <c r="H2" s="562"/>
      <c r="I2" s="562"/>
      <c r="J2" s="562"/>
      <c r="K2" s="562"/>
      <c r="L2" s="562"/>
      <c r="M2" s="562"/>
      <c r="N2" s="562"/>
      <c r="O2" s="562"/>
      <c r="P2" s="562"/>
      <c r="Q2" s="562"/>
      <c r="R2" s="562"/>
      <c r="S2" s="562"/>
      <c r="T2" s="562"/>
      <c r="U2" s="562"/>
      <c r="V2" s="562"/>
      <c r="W2" s="562"/>
      <c r="X2" s="562"/>
      <c r="Y2" s="562"/>
      <c r="Z2" s="562"/>
      <c r="AA2" s="562"/>
      <c r="AB2" s="562"/>
      <c r="AC2" s="562"/>
      <c r="AD2" s="562"/>
      <c r="AE2" s="562"/>
      <c r="AF2" s="562"/>
      <c r="AG2" s="562"/>
      <c r="AH2" s="20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</row>
    <row r="3" spans="1:52" s="3" customFormat="1" ht="15.6" customHeight="1" x14ac:dyDescent="0.15">
      <c r="A3" s="49"/>
      <c r="B3" s="41"/>
      <c r="C3" s="42"/>
      <c r="D3" s="42"/>
      <c r="E3" s="42"/>
      <c r="F3" s="42"/>
      <c r="G3" s="42"/>
      <c r="H3" s="42"/>
      <c r="I3" s="42"/>
      <c r="J3" s="42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33"/>
      <c r="W3" s="33"/>
      <c r="X3" s="33"/>
      <c r="Y3" s="33"/>
      <c r="Z3" s="33"/>
      <c r="AA3" s="563" t="s">
        <v>107</v>
      </c>
      <c r="AB3" s="563"/>
      <c r="AC3" s="563"/>
      <c r="AD3" s="563"/>
      <c r="AE3" s="563"/>
      <c r="AF3" s="563"/>
      <c r="AG3" s="563"/>
      <c r="AH3" s="21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Y3" s="79"/>
      <c r="AZ3" s="79"/>
    </row>
    <row r="4" spans="1:52" s="3" customFormat="1" ht="15.6" customHeight="1" x14ac:dyDescent="0.15">
      <c r="A4" s="49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33"/>
      <c r="W4" s="33"/>
      <c r="X4" s="33"/>
      <c r="Y4" s="33"/>
      <c r="Z4" s="33"/>
      <c r="AA4" s="563"/>
      <c r="AB4" s="563"/>
      <c r="AC4" s="563"/>
      <c r="AD4" s="563"/>
      <c r="AE4" s="563"/>
      <c r="AF4" s="563"/>
      <c r="AG4" s="563"/>
      <c r="AH4" s="21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Y4" s="79"/>
      <c r="AZ4" s="79"/>
    </row>
    <row r="5" spans="1:52" s="3" customFormat="1" ht="15.6" customHeight="1" x14ac:dyDescent="0.15">
      <c r="A5" s="49" t="s">
        <v>66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16"/>
      <c r="Q5" s="16"/>
      <c r="R5" s="16"/>
      <c r="S5" s="16"/>
      <c r="T5" s="16"/>
      <c r="U5" s="16"/>
      <c r="V5" s="21"/>
      <c r="W5" s="21"/>
      <c r="X5" s="21"/>
      <c r="Y5" s="21"/>
      <c r="Z5" s="21"/>
      <c r="AA5" s="891" t="s">
        <v>229</v>
      </c>
      <c r="AB5" s="564"/>
      <c r="AC5" s="564"/>
      <c r="AD5" s="564"/>
      <c r="AE5" s="564"/>
      <c r="AF5" s="564"/>
      <c r="AG5" s="564"/>
      <c r="AH5" s="21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Y5" s="79"/>
      <c r="AZ5" s="79"/>
    </row>
    <row r="6" spans="1:52" s="3" customFormat="1" ht="15.6" customHeight="1" x14ac:dyDescent="0.15">
      <c r="A6" s="49" t="s">
        <v>7</v>
      </c>
      <c r="B6" s="565" t="s">
        <v>108</v>
      </c>
      <c r="C6" s="565"/>
      <c r="D6" s="565"/>
      <c r="E6" s="437" t="s">
        <v>109</v>
      </c>
      <c r="F6" s="566">
        <v>44986</v>
      </c>
      <c r="G6" s="566"/>
      <c r="H6" s="566"/>
      <c r="I6" s="566"/>
      <c r="J6" s="566"/>
      <c r="K6" s="566"/>
      <c r="L6" s="566"/>
      <c r="M6" s="567" t="s">
        <v>111</v>
      </c>
      <c r="N6" s="567"/>
      <c r="O6" s="567"/>
      <c r="P6" s="16"/>
      <c r="Q6" s="16"/>
      <c r="R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Y6" s="79"/>
      <c r="AZ6" s="79"/>
    </row>
    <row r="7" spans="1:52" s="3" customFormat="1" ht="15.6" customHeight="1" x14ac:dyDescent="0.15">
      <c r="A7" s="49"/>
      <c r="B7" s="49"/>
      <c r="C7" s="49" t="s">
        <v>65</v>
      </c>
      <c r="D7" s="438"/>
      <c r="E7" s="49"/>
      <c r="F7" s="55"/>
      <c r="G7" s="55"/>
      <c r="H7" s="55"/>
      <c r="I7" s="546">
        <v>223760</v>
      </c>
      <c r="J7" s="546"/>
      <c r="K7" s="546"/>
      <c r="L7" s="546"/>
      <c r="M7" s="546"/>
      <c r="N7" s="55" t="s">
        <v>8</v>
      </c>
      <c r="O7" s="55"/>
      <c r="P7" s="500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Y7" s="79"/>
      <c r="AZ7" s="79"/>
    </row>
    <row r="8" spans="1:52" s="3" customFormat="1" ht="15.6" customHeight="1" x14ac:dyDescent="0.15">
      <c r="A8" s="49"/>
      <c r="B8" s="49"/>
      <c r="C8" s="49" t="s">
        <v>9</v>
      </c>
      <c r="D8" s="49"/>
      <c r="E8" s="49"/>
      <c r="F8" s="55"/>
      <c r="G8" s="55"/>
      <c r="H8" s="55"/>
      <c r="I8" s="547">
        <v>103551</v>
      </c>
      <c r="J8" s="546"/>
      <c r="K8" s="546"/>
      <c r="L8" s="546"/>
      <c r="M8" s="546"/>
      <c r="N8" s="55" t="s">
        <v>10</v>
      </c>
      <c r="O8" s="55"/>
      <c r="P8" s="16" t="s">
        <v>11</v>
      </c>
      <c r="Q8" s="16"/>
      <c r="R8" s="16"/>
      <c r="S8" s="16"/>
      <c r="T8" s="16"/>
      <c r="U8" s="16"/>
      <c r="V8" s="548">
        <f>I7/I8</f>
        <v>2.1608675918146614</v>
      </c>
      <c r="W8" s="548"/>
      <c r="X8" s="548"/>
      <c r="Y8" s="16" t="s">
        <v>12</v>
      </c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Y8" s="79"/>
      <c r="AZ8" s="79"/>
    </row>
    <row r="9" spans="1:52" s="3" customFormat="1" ht="15.6" customHeight="1" x14ac:dyDescent="0.15">
      <c r="A9" s="49"/>
      <c r="B9" s="16"/>
      <c r="C9" s="16"/>
      <c r="D9" s="16"/>
      <c r="E9" s="16"/>
      <c r="F9" s="16"/>
      <c r="G9" s="16"/>
      <c r="H9" s="16"/>
      <c r="I9" s="509"/>
      <c r="J9" s="508"/>
      <c r="K9" s="508"/>
      <c r="L9" s="508"/>
      <c r="M9" s="508"/>
      <c r="N9" s="16"/>
      <c r="O9" s="16"/>
      <c r="P9" s="16"/>
      <c r="Q9" s="16"/>
      <c r="R9" s="16"/>
      <c r="S9" s="16"/>
      <c r="T9" s="16"/>
      <c r="U9" s="16"/>
      <c r="V9" s="485"/>
      <c r="W9" s="485"/>
      <c r="X9" s="485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Y9" s="79"/>
      <c r="AZ9" s="79"/>
    </row>
    <row r="10" spans="1:52" s="3" customFormat="1" ht="15.6" customHeight="1" x14ac:dyDescent="0.15">
      <c r="A10" s="49" t="s">
        <v>5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Y10" s="79"/>
      <c r="AZ10" s="79"/>
    </row>
    <row r="11" spans="1:52" s="3" customFormat="1" ht="15.6" customHeight="1" x14ac:dyDescent="0.15">
      <c r="A11" s="49"/>
      <c r="B11" s="549" t="s">
        <v>67</v>
      </c>
      <c r="C11" s="550"/>
      <c r="D11" s="550"/>
      <c r="E11" s="550"/>
      <c r="F11" s="550"/>
      <c r="G11" s="550"/>
      <c r="H11" s="551"/>
      <c r="I11" s="555" t="s">
        <v>130</v>
      </c>
      <c r="J11" s="556"/>
      <c r="K11" s="556"/>
      <c r="L11" s="556"/>
      <c r="M11" s="557"/>
      <c r="N11" s="555" t="s">
        <v>131</v>
      </c>
      <c r="O11" s="556"/>
      <c r="P11" s="556"/>
      <c r="Q11" s="556"/>
      <c r="R11" s="557"/>
      <c r="S11" s="561" t="s">
        <v>13</v>
      </c>
      <c r="T11" s="556"/>
      <c r="U11" s="556"/>
      <c r="V11" s="556"/>
      <c r="W11" s="557"/>
      <c r="X11" s="29"/>
      <c r="Y11" s="581" t="s">
        <v>68</v>
      </c>
      <c r="Z11" s="581"/>
      <c r="AA11" s="581"/>
      <c r="AB11" s="30"/>
      <c r="AC11" s="561" t="s">
        <v>81</v>
      </c>
      <c r="AD11" s="556"/>
      <c r="AE11" s="556"/>
      <c r="AF11" s="556"/>
      <c r="AG11" s="557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Y11" s="79"/>
      <c r="AZ11" s="79"/>
    </row>
    <row r="12" spans="1:52" s="3" customFormat="1" ht="15.6" customHeight="1" x14ac:dyDescent="0.15">
      <c r="A12" s="49"/>
      <c r="B12" s="552"/>
      <c r="C12" s="553"/>
      <c r="D12" s="553"/>
      <c r="E12" s="553"/>
      <c r="F12" s="553"/>
      <c r="G12" s="553"/>
      <c r="H12" s="554"/>
      <c r="I12" s="558"/>
      <c r="J12" s="559"/>
      <c r="K12" s="559"/>
      <c r="L12" s="559"/>
      <c r="M12" s="560"/>
      <c r="N12" s="558"/>
      <c r="O12" s="559"/>
      <c r="P12" s="559"/>
      <c r="Q12" s="559"/>
      <c r="R12" s="560"/>
      <c r="S12" s="558"/>
      <c r="T12" s="559"/>
      <c r="U12" s="559"/>
      <c r="V12" s="559"/>
      <c r="W12" s="560"/>
      <c r="X12" s="31"/>
      <c r="Y12" s="581" t="s">
        <v>69</v>
      </c>
      <c r="Z12" s="581"/>
      <c r="AA12" s="581"/>
      <c r="AB12" s="32"/>
      <c r="AC12" s="558"/>
      <c r="AD12" s="559"/>
      <c r="AE12" s="559"/>
      <c r="AF12" s="559"/>
      <c r="AG12" s="560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Y12" s="79"/>
      <c r="AZ12" s="79"/>
    </row>
    <row r="13" spans="1:52" s="3" customFormat="1" ht="15.6" customHeight="1" x14ac:dyDescent="0.15">
      <c r="A13" s="49"/>
      <c r="B13" s="495" t="s">
        <v>126</v>
      </c>
      <c r="C13" s="496"/>
      <c r="D13" s="496"/>
      <c r="E13" s="496"/>
      <c r="F13" s="496"/>
      <c r="G13" s="496"/>
      <c r="H13" s="497"/>
      <c r="I13" s="570">
        <v>2329</v>
      </c>
      <c r="J13" s="571"/>
      <c r="K13" s="571"/>
      <c r="L13" s="571"/>
      <c r="M13" s="572"/>
      <c r="N13" s="570">
        <v>3076</v>
      </c>
      <c r="O13" s="571"/>
      <c r="P13" s="571"/>
      <c r="Q13" s="571"/>
      <c r="R13" s="572"/>
      <c r="S13" s="570">
        <v>28</v>
      </c>
      <c r="T13" s="571"/>
      <c r="U13" s="571"/>
      <c r="V13" s="571"/>
      <c r="W13" s="572"/>
      <c r="X13" s="582">
        <f t="shared" ref="X13:X16" si="0">I13/S13</f>
        <v>83.178571428571431</v>
      </c>
      <c r="Y13" s="583"/>
      <c r="Z13" s="583"/>
      <c r="AA13" s="583"/>
      <c r="AB13" s="34"/>
      <c r="AC13" s="584">
        <v>13.65933373002833</v>
      </c>
      <c r="AD13" s="585"/>
      <c r="AE13" s="585"/>
      <c r="AF13" s="585"/>
      <c r="AG13" s="586"/>
      <c r="AH13" s="568"/>
      <c r="AI13" s="569"/>
      <c r="AJ13" s="569"/>
      <c r="AK13" s="569"/>
      <c r="AL13" s="16"/>
      <c r="AM13" s="18"/>
      <c r="AN13" s="16"/>
      <c r="AO13" s="16"/>
      <c r="AP13" s="16"/>
      <c r="AQ13" s="16"/>
      <c r="AR13" s="16"/>
      <c r="AS13" s="16"/>
      <c r="AT13" s="16"/>
      <c r="AU13" s="16"/>
      <c r="AY13" s="79"/>
      <c r="AZ13" s="79"/>
    </row>
    <row r="14" spans="1:52" s="3" customFormat="1" ht="15.6" customHeight="1" x14ac:dyDescent="0.15">
      <c r="A14" s="49"/>
      <c r="B14" s="495" t="s">
        <v>129</v>
      </c>
      <c r="C14" s="496"/>
      <c r="D14" s="496"/>
      <c r="E14" s="496"/>
      <c r="F14" s="496"/>
      <c r="G14" s="496"/>
      <c r="H14" s="497"/>
      <c r="I14" s="570">
        <v>2409</v>
      </c>
      <c r="J14" s="571"/>
      <c r="K14" s="571"/>
      <c r="L14" s="571"/>
      <c r="M14" s="572"/>
      <c r="N14" s="570">
        <v>3167</v>
      </c>
      <c r="O14" s="571"/>
      <c r="P14" s="571"/>
      <c r="Q14" s="571"/>
      <c r="R14" s="572"/>
      <c r="S14" s="573">
        <v>28</v>
      </c>
      <c r="T14" s="574"/>
      <c r="U14" s="574"/>
      <c r="V14" s="574"/>
      <c r="W14" s="575"/>
      <c r="X14" s="576">
        <f>I14/S14</f>
        <v>86.035714285714292</v>
      </c>
      <c r="Y14" s="577"/>
      <c r="Z14" s="577"/>
      <c r="AA14" s="577"/>
      <c r="AB14" s="23"/>
      <c r="AC14" s="578">
        <v>14.09717121808996</v>
      </c>
      <c r="AD14" s="579"/>
      <c r="AE14" s="579"/>
      <c r="AF14" s="579"/>
      <c r="AG14" s="580"/>
      <c r="AH14" s="568"/>
      <c r="AI14" s="569"/>
      <c r="AJ14" s="569"/>
      <c r="AK14" s="569"/>
      <c r="AL14" s="16"/>
      <c r="AM14" s="18"/>
      <c r="AN14" s="16"/>
      <c r="AO14" s="16"/>
      <c r="AP14" s="16"/>
      <c r="AQ14" s="16"/>
      <c r="AR14" s="16"/>
      <c r="AS14" s="16"/>
      <c r="AT14" s="16"/>
      <c r="AU14" s="16"/>
      <c r="AY14" s="79"/>
      <c r="AZ14" s="79"/>
    </row>
    <row r="15" spans="1:52" s="3" customFormat="1" ht="15.6" customHeight="1" x14ac:dyDescent="0.15">
      <c r="A15" s="49"/>
      <c r="B15" s="589" t="s">
        <v>144</v>
      </c>
      <c r="C15" s="589"/>
      <c r="D15" s="589"/>
      <c r="E15" s="589"/>
      <c r="F15" s="589"/>
      <c r="G15" s="589"/>
      <c r="H15" s="589"/>
      <c r="I15" s="570">
        <v>2478</v>
      </c>
      <c r="J15" s="571"/>
      <c r="K15" s="571"/>
      <c r="L15" s="571"/>
      <c r="M15" s="572"/>
      <c r="N15" s="570">
        <v>3222</v>
      </c>
      <c r="O15" s="571"/>
      <c r="P15" s="571"/>
      <c r="Q15" s="571"/>
      <c r="R15" s="572"/>
      <c r="S15" s="570">
        <v>29</v>
      </c>
      <c r="T15" s="571"/>
      <c r="U15" s="571"/>
      <c r="V15" s="571"/>
      <c r="W15" s="572"/>
      <c r="X15" s="576">
        <f t="shared" si="0"/>
        <v>85.448275862068968</v>
      </c>
      <c r="Y15" s="577"/>
      <c r="Z15" s="577"/>
      <c r="AA15" s="577"/>
      <c r="AB15" s="23"/>
      <c r="AC15" s="578">
        <v>14.375008365344719</v>
      </c>
      <c r="AD15" s="579"/>
      <c r="AE15" s="579"/>
      <c r="AF15" s="579"/>
      <c r="AG15" s="580"/>
      <c r="AH15" s="587"/>
      <c r="AI15" s="822"/>
      <c r="AJ15" s="822"/>
      <c r="AK15" s="822"/>
      <c r="AL15" s="14"/>
      <c r="AM15" s="18"/>
      <c r="AN15" s="14"/>
      <c r="AO15" s="16"/>
      <c r="AP15" s="16"/>
      <c r="AQ15" s="16"/>
      <c r="AR15" s="16"/>
      <c r="AS15" s="16"/>
      <c r="AT15" s="16"/>
      <c r="AU15" s="16"/>
      <c r="AY15" s="79"/>
      <c r="AZ15" s="79"/>
    </row>
    <row r="16" spans="1:52" s="3" customFormat="1" ht="15.6" customHeight="1" x14ac:dyDescent="0.15">
      <c r="A16" s="49"/>
      <c r="B16" s="589" t="s">
        <v>148</v>
      </c>
      <c r="C16" s="589"/>
      <c r="D16" s="589"/>
      <c r="E16" s="589"/>
      <c r="F16" s="589"/>
      <c r="G16" s="589"/>
      <c r="H16" s="589"/>
      <c r="I16" s="570">
        <v>2523</v>
      </c>
      <c r="J16" s="571"/>
      <c r="K16" s="571"/>
      <c r="L16" s="571"/>
      <c r="M16" s="572"/>
      <c r="N16" s="570">
        <v>3258</v>
      </c>
      <c r="O16" s="571"/>
      <c r="P16" s="571"/>
      <c r="Q16" s="571"/>
      <c r="R16" s="572"/>
      <c r="S16" s="570">
        <v>30</v>
      </c>
      <c r="T16" s="571"/>
      <c r="U16" s="571"/>
      <c r="V16" s="571"/>
      <c r="W16" s="572"/>
      <c r="X16" s="576">
        <f t="shared" si="0"/>
        <v>84.1</v>
      </c>
      <c r="Y16" s="577"/>
      <c r="Z16" s="577"/>
      <c r="AA16" s="577"/>
      <c r="AB16" s="23"/>
      <c r="AC16" s="578">
        <v>14.560112977181111</v>
      </c>
      <c r="AD16" s="579"/>
      <c r="AE16" s="579"/>
      <c r="AF16" s="579"/>
      <c r="AG16" s="580"/>
      <c r="AH16" s="587"/>
      <c r="AI16" s="588"/>
      <c r="AJ16" s="588"/>
      <c r="AK16" s="588"/>
      <c r="AL16" s="14"/>
      <c r="AM16" s="18"/>
      <c r="AN16" s="14"/>
      <c r="AO16" s="14"/>
      <c r="AP16" s="14"/>
      <c r="AQ16" s="14"/>
      <c r="AR16" s="14"/>
      <c r="AS16" s="14"/>
      <c r="AT16" s="14"/>
      <c r="AU16" s="14"/>
      <c r="AY16" s="79"/>
      <c r="AZ16" s="79"/>
    </row>
    <row r="17" spans="1:52" s="3" customFormat="1" ht="15.6" customHeight="1" x14ac:dyDescent="0.15">
      <c r="A17" s="49"/>
      <c r="B17" s="604" t="s">
        <v>169</v>
      </c>
      <c r="C17" s="604"/>
      <c r="D17" s="604"/>
      <c r="E17" s="604"/>
      <c r="F17" s="604"/>
      <c r="G17" s="604"/>
      <c r="H17" s="604"/>
      <c r="I17" s="605">
        <v>2564</v>
      </c>
      <c r="J17" s="606"/>
      <c r="K17" s="606"/>
      <c r="L17" s="606"/>
      <c r="M17" s="607"/>
      <c r="N17" s="605">
        <v>3302</v>
      </c>
      <c r="O17" s="606"/>
      <c r="P17" s="606"/>
      <c r="Q17" s="606"/>
      <c r="R17" s="607"/>
      <c r="S17" s="570">
        <v>31</v>
      </c>
      <c r="T17" s="571"/>
      <c r="U17" s="571"/>
      <c r="V17" s="571"/>
      <c r="W17" s="572"/>
      <c r="X17" s="576">
        <f>I17/S17</f>
        <v>82.709677419354833</v>
      </c>
      <c r="Y17" s="577"/>
      <c r="Z17" s="577"/>
      <c r="AA17" s="577"/>
      <c r="AB17" s="23"/>
      <c r="AC17" s="578">
        <v>14.773652608878509</v>
      </c>
      <c r="AD17" s="579"/>
      <c r="AE17" s="579"/>
      <c r="AF17" s="579"/>
      <c r="AG17" s="580"/>
      <c r="AH17" s="587"/>
      <c r="AI17" s="588"/>
      <c r="AJ17" s="588"/>
      <c r="AK17" s="588"/>
      <c r="AL17" s="14"/>
      <c r="AM17" s="14"/>
      <c r="AN17" s="14"/>
      <c r="AO17" s="14"/>
      <c r="AP17" s="14"/>
      <c r="AQ17" s="14"/>
      <c r="AR17" s="14"/>
      <c r="AS17" s="14"/>
      <c r="AT17" s="14"/>
      <c r="AU17" s="39"/>
      <c r="AV17" s="38"/>
      <c r="AX17" s="596"/>
      <c r="AY17" s="596"/>
      <c r="AZ17" s="79"/>
    </row>
    <row r="18" spans="1:52" s="3" customFormat="1" ht="15.6" customHeight="1" x14ac:dyDescent="0.15">
      <c r="A18" s="49"/>
      <c r="B18" s="597" t="s">
        <v>223</v>
      </c>
      <c r="C18" s="597"/>
      <c r="D18" s="597"/>
      <c r="E18" s="597"/>
      <c r="F18" s="597"/>
      <c r="G18" s="597"/>
      <c r="H18" s="597"/>
      <c r="I18" s="598">
        <f>2560+3</f>
        <v>2563</v>
      </c>
      <c r="J18" s="599"/>
      <c r="K18" s="599"/>
      <c r="L18" s="599"/>
      <c r="M18" s="600"/>
      <c r="N18" s="598">
        <f>3241+3</f>
        <v>3244</v>
      </c>
      <c r="O18" s="599"/>
      <c r="P18" s="599"/>
      <c r="Q18" s="599"/>
      <c r="R18" s="600"/>
      <c r="S18" s="570">
        <v>31</v>
      </c>
      <c r="T18" s="571"/>
      <c r="U18" s="571"/>
      <c r="V18" s="571"/>
      <c r="W18" s="572"/>
      <c r="X18" s="576">
        <f>I18/S18</f>
        <v>82.677419354838705</v>
      </c>
      <c r="Y18" s="577"/>
      <c r="Z18" s="577"/>
      <c r="AA18" s="577"/>
      <c r="AB18" s="23"/>
      <c r="AC18" s="601">
        <v>14.497676081515909</v>
      </c>
      <c r="AD18" s="602"/>
      <c r="AE18" s="602"/>
      <c r="AF18" s="602"/>
      <c r="AG18" s="603"/>
      <c r="AH18" s="883"/>
      <c r="AI18" s="884"/>
      <c r="AJ18" s="884"/>
      <c r="AK18" s="884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38"/>
      <c r="AX18" s="483"/>
      <c r="AY18" s="483"/>
      <c r="AZ18" s="79"/>
    </row>
    <row r="19" spans="1:52" s="1" customFormat="1" ht="15.6" customHeight="1" x14ac:dyDescent="0.15">
      <c r="A19" s="49"/>
      <c r="B19" s="500"/>
      <c r="C19" s="16"/>
      <c r="D19" s="590" t="s">
        <v>79</v>
      </c>
      <c r="E19" s="590"/>
      <c r="F19" s="590"/>
      <c r="G19" s="590"/>
      <c r="H19" s="590"/>
      <c r="I19" s="591">
        <v>95</v>
      </c>
      <c r="J19" s="592"/>
      <c r="K19" s="592"/>
      <c r="L19" s="592"/>
      <c r="M19" s="593"/>
      <c r="N19" s="594">
        <v>182</v>
      </c>
      <c r="O19" s="594"/>
      <c r="P19" s="594"/>
      <c r="Q19" s="594"/>
      <c r="R19" s="594"/>
      <c r="S19" s="500"/>
      <c r="T19" s="18"/>
      <c r="U19" s="16"/>
      <c r="V19" s="16"/>
      <c r="W19" s="16"/>
      <c r="X19" s="16"/>
      <c r="Y19" s="16"/>
      <c r="Z19" s="16"/>
      <c r="AA19" s="16"/>
      <c r="AB19" s="484"/>
      <c r="AC19" s="544"/>
      <c r="AD19" s="544"/>
      <c r="AE19" s="544"/>
      <c r="AF19" s="16"/>
      <c r="AG19" s="16"/>
      <c r="AH19" s="16"/>
      <c r="AI19" s="71"/>
      <c r="AJ19" s="16"/>
      <c r="AK19" s="16"/>
      <c r="AL19" s="16"/>
      <c r="AM19" s="16"/>
      <c r="AN19" s="16"/>
      <c r="AO19" s="16"/>
      <c r="AP19" s="13"/>
      <c r="AQ19" s="13"/>
      <c r="AR19" s="13"/>
      <c r="AS19" s="13"/>
      <c r="AT19" s="13"/>
      <c r="AU19" s="13"/>
      <c r="AY19" s="473"/>
      <c r="AZ19" s="473"/>
    </row>
    <row r="20" spans="1:52" s="1" customFormat="1" ht="15.6" customHeight="1" x14ac:dyDescent="0.15">
      <c r="A20" s="49"/>
      <c r="B20" s="500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545"/>
      <c r="AI20" s="545"/>
      <c r="AJ20" s="545"/>
      <c r="AK20" s="545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Y20" s="473"/>
      <c r="AZ20" s="473"/>
    </row>
    <row r="21" spans="1:52" s="14" customFormat="1" ht="15.6" customHeight="1" x14ac:dyDescent="0.15">
      <c r="A21" s="50" t="s">
        <v>124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24"/>
      <c r="X21" s="24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Y21" s="80"/>
      <c r="AZ21" s="80"/>
    </row>
    <row r="22" spans="1:52" s="14" customFormat="1" ht="15.6" customHeight="1" x14ac:dyDescent="0.15">
      <c r="A22" s="486" t="s">
        <v>171</v>
      </c>
      <c r="B22" s="25"/>
      <c r="C22" s="25"/>
      <c r="D22" s="489"/>
      <c r="E22" s="489"/>
      <c r="F22" s="489"/>
      <c r="G22" s="489"/>
      <c r="H22" s="22"/>
      <c r="I22" s="489"/>
      <c r="J22" s="489"/>
      <c r="K22" s="489"/>
      <c r="L22" s="1" t="s">
        <v>73</v>
      </c>
      <c r="M22" s="22"/>
      <c r="N22" s="489"/>
      <c r="O22" s="489"/>
      <c r="P22" s="489"/>
      <c r="Q22" s="489"/>
      <c r="R22" s="22"/>
      <c r="S22" s="503"/>
      <c r="T22" s="489"/>
      <c r="U22" s="489"/>
      <c r="V22" s="504"/>
      <c r="W22" s="504"/>
      <c r="X22" s="26"/>
      <c r="Y22" s="503"/>
      <c r="Z22" s="503"/>
      <c r="AA22" s="503"/>
      <c r="AB22" s="504"/>
      <c r="AC22" s="489"/>
      <c r="AD22" s="489"/>
      <c r="AE22" s="489"/>
      <c r="AF22" s="489"/>
      <c r="AG22" s="489"/>
      <c r="AH22" s="24"/>
      <c r="AI22" s="24"/>
      <c r="AJ22" s="24"/>
      <c r="AK22" s="24"/>
      <c r="AL22" s="24"/>
      <c r="AM22" s="24"/>
      <c r="AY22" s="80"/>
      <c r="AZ22" s="80"/>
    </row>
    <row r="23" spans="1:52" s="14" customFormat="1" ht="15.6" customHeight="1" x14ac:dyDescent="0.15">
      <c r="A23" s="52"/>
      <c r="B23" s="595" t="s">
        <v>14</v>
      </c>
      <c r="C23" s="595"/>
      <c r="D23" s="595" t="s">
        <v>15</v>
      </c>
      <c r="E23" s="595"/>
      <c r="F23" s="595"/>
      <c r="G23" s="595"/>
      <c r="H23" s="595"/>
      <c r="I23" s="595" t="s">
        <v>16</v>
      </c>
      <c r="J23" s="595"/>
      <c r="K23" s="595"/>
      <c r="L23" s="595"/>
      <c r="M23" s="595"/>
      <c r="N23" s="595" t="s">
        <v>17</v>
      </c>
      <c r="O23" s="595"/>
      <c r="P23" s="595"/>
      <c r="Q23" s="595"/>
      <c r="R23" s="595"/>
      <c r="S23" s="608" t="s">
        <v>18</v>
      </c>
      <c r="T23" s="609"/>
      <c r="U23" s="609"/>
      <c r="V23" s="609"/>
      <c r="W23" s="609"/>
      <c r="X23" s="610"/>
      <c r="Y23" s="608" t="s">
        <v>19</v>
      </c>
      <c r="Z23" s="609"/>
      <c r="AA23" s="609"/>
      <c r="AB23" s="609"/>
      <c r="AC23" s="609"/>
      <c r="AD23" s="610"/>
      <c r="AE23" s="608" t="s">
        <v>72</v>
      </c>
      <c r="AF23" s="609"/>
      <c r="AG23" s="610"/>
      <c r="AH23" s="13"/>
      <c r="AI23" s="13"/>
      <c r="AJ23" s="13"/>
      <c r="AK23" s="13"/>
      <c r="AL23" s="13"/>
      <c r="AM23" s="13"/>
      <c r="AY23" s="80"/>
      <c r="AZ23" s="80"/>
    </row>
    <row r="24" spans="1:52" s="14" customFormat="1" ht="15.6" customHeight="1" x14ac:dyDescent="0.15">
      <c r="A24" s="49"/>
      <c r="B24" s="611" t="s">
        <v>9</v>
      </c>
      <c r="C24" s="611"/>
      <c r="D24" s="612">
        <v>365</v>
      </c>
      <c r="E24" s="612"/>
      <c r="F24" s="612"/>
      <c r="G24" s="612"/>
      <c r="H24" s="612"/>
      <c r="I24" s="612">
        <f>SUM(L25:M28)</f>
        <v>29</v>
      </c>
      <c r="J24" s="612"/>
      <c r="K24" s="612"/>
      <c r="L24" s="612"/>
      <c r="M24" s="612"/>
      <c r="N24" s="612">
        <f>SUM(Q25:R29)</f>
        <v>20</v>
      </c>
      <c r="O24" s="612"/>
      <c r="P24" s="612"/>
      <c r="Q24" s="612"/>
      <c r="R24" s="612"/>
      <c r="S24" s="613">
        <v>327</v>
      </c>
      <c r="T24" s="614"/>
      <c r="U24" s="614"/>
      <c r="V24" s="614"/>
      <c r="W24" s="614"/>
      <c r="X24" s="615"/>
      <c r="Y24" s="613">
        <v>286</v>
      </c>
      <c r="Z24" s="614"/>
      <c r="AA24" s="614"/>
      <c r="AB24" s="614"/>
      <c r="AC24" s="614"/>
      <c r="AD24" s="615"/>
      <c r="AE24" s="613">
        <f>S24-Y24</f>
        <v>41</v>
      </c>
      <c r="AF24" s="614"/>
      <c r="AG24" s="615"/>
      <c r="AH24" s="16"/>
      <c r="AI24" s="13"/>
      <c r="AJ24" s="13"/>
      <c r="AK24" s="16"/>
      <c r="AL24" s="16"/>
      <c r="AM24" s="16"/>
      <c r="AY24" s="80"/>
      <c r="AZ24" s="80"/>
    </row>
    <row r="25" spans="1:52" s="14" customFormat="1" ht="15.6" customHeight="1" x14ac:dyDescent="0.15">
      <c r="A25" s="49"/>
      <c r="B25" s="632" t="s">
        <v>21</v>
      </c>
      <c r="C25" s="633"/>
      <c r="D25" s="624"/>
      <c r="E25" s="625"/>
      <c r="F25" s="625"/>
      <c r="G25" s="626"/>
      <c r="H25" s="627"/>
      <c r="I25" s="57" t="s">
        <v>22</v>
      </c>
      <c r="J25" s="58"/>
      <c r="K25" s="58"/>
      <c r="L25" s="622">
        <v>8</v>
      </c>
      <c r="M25" s="623"/>
      <c r="N25" s="57" t="s">
        <v>62</v>
      </c>
      <c r="O25" s="58"/>
      <c r="P25" s="58"/>
      <c r="Q25" s="622">
        <v>13</v>
      </c>
      <c r="R25" s="623"/>
      <c r="S25" s="481" t="s">
        <v>23</v>
      </c>
      <c r="T25" s="482"/>
      <c r="U25" s="482"/>
      <c r="V25" s="482"/>
      <c r="W25" s="622">
        <v>54</v>
      </c>
      <c r="X25" s="623"/>
      <c r="Y25" s="57" t="s">
        <v>97</v>
      </c>
      <c r="Z25" s="482"/>
      <c r="AA25" s="482"/>
      <c r="AB25" s="482"/>
      <c r="AC25" s="622">
        <v>0</v>
      </c>
      <c r="AD25" s="623"/>
      <c r="AE25" s="492"/>
      <c r="AF25" s="493"/>
      <c r="AG25" s="5"/>
      <c r="AH25" s="16"/>
      <c r="AI25" s="13"/>
      <c r="AJ25" s="13"/>
      <c r="AK25" s="16"/>
      <c r="AL25" s="16"/>
      <c r="AM25" s="16"/>
      <c r="AY25" s="80"/>
      <c r="AZ25" s="80"/>
    </row>
    <row r="26" spans="1:52" s="14" customFormat="1" ht="15.6" customHeight="1" x14ac:dyDescent="0.15">
      <c r="A26" s="49"/>
      <c r="B26" s="634"/>
      <c r="C26" s="635"/>
      <c r="D26" s="620"/>
      <c r="E26" s="621"/>
      <c r="F26" s="621"/>
      <c r="G26" s="621"/>
      <c r="H26" s="59"/>
      <c r="I26" s="60" t="s">
        <v>0</v>
      </c>
      <c r="J26" s="61"/>
      <c r="K26" s="61"/>
      <c r="L26" s="616">
        <v>2</v>
      </c>
      <c r="M26" s="617"/>
      <c r="N26" s="60" t="s">
        <v>3</v>
      </c>
      <c r="O26" s="61"/>
      <c r="P26" s="61"/>
      <c r="Q26" s="616">
        <v>0</v>
      </c>
      <c r="R26" s="617"/>
      <c r="S26" s="479" t="s">
        <v>90</v>
      </c>
      <c r="T26" s="480"/>
      <c r="U26" s="480"/>
      <c r="V26" s="480"/>
      <c r="W26" s="616">
        <v>1</v>
      </c>
      <c r="X26" s="617"/>
      <c r="Y26" s="60" t="s">
        <v>4</v>
      </c>
      <c r="Z26" s="61"/>
      <c r="AA26" s="61"/>
      <c r="AB26" s="61"/>
      <c r="AC26" s="616">
        <v>105</v>
      </c>
      <c r="AD26" s="617"/>
      <c r="AE26" s="490"/>
      <c r="AF26" s="491"/>
      <c r="AG26" s="6"/>
      <c r="AH26" s="16"/>
      <c r="AI26" s="13"/>
      <c r="AJ26" s="13"/>
      <c r="AK26" s="16"/>
      <c r="AL26" s="16"/>
      <c r="AM26" s="16"/>
      <c r="AY26" s="80"/>
      <c r="AZ26" s="80"/>
    </row>
    <row r="27" spans="1:52" s="14" customFormat="1" ht="15.6" customHeight="1" x14ac:dyDescent="0.15">
      <c r="A27" s="49"/>
      <c r="B27" s="634"/>
      <c r="C27" s="635"/>
      <c r="D27" s="620"/>
      <c r="E27" s="621"/>
      <c r="F27" s="621"/>
      <c r="G27" s="621"/>
      <c r="H27" s="59"/>
      <c r="I27" s="60" t="s">
        <v>61</v>
      </c>
      <c r="J27" s="61"/>
      <c r="K27" s="61"/>
      <c r="L27" s="616">
        <v>4</v>
      </c>
      <c r="M27" s="617"/>
      <c r="N27" s="60" t="s">
        <v>0</v>
      </c>
      <c r="O27" s="61"/>
      <c r="P27" s="61"/>
      <c r="Q27" s="616">
        <v>0</v>
      </c>
      <c r="R27" s="617"/>
      <c r="S27" s="479" t="s">
        <v>91</v>
      </c>
      <c r="T27" s="480"/>
      <c r="U27" s="480"/>
      <c r="V27" s="480"/>
      <c r="W27" s="616">
        <v>9</v>
      </c>
      <c r="X27" s="617"/>
      <c r="Y27" s="60" t="s">
        <v>2</v>
      </c>
      <c r="Z27" s="62"/>
      <c r="AA27" s="62"/>
      <c r="AB27" s="62"/>
      <c r="AC27" s="616">
        <v>17</v>
      </c>
      <c r="AD27" s="617"/>
      <c r="AE27" s="490"/>
      <c r="AF27" s="491"/>
      <c r="AG27" s="6"/>
      <c r="AH27" s="16"/>
      <c r="AI27" s="13"/>
      <c r="AJ27" s="13"/>
      <c r="AK27" s="16"/>
      <c r="AL27" s="16"/>
      <c r="AM27" s="16"/>
      <c r="AQ27" s="18"/>
      <c r="AY27" s="80"/>
      <c r="AZ27" s="80"/>
    </row>
    <row r="28" spans="1:52" s="14" customFormat="1" ht="15.6" customHeight="1" x14ac:dyDescent="0.15">
      <c r="A28" s="49"/>
      <c r="B28" s="634"/>
      <c r="C28" s="635"/>
      <c r="D28" s="620"/>
      <c r="E28" s="621"/>
      <c r="F28" s="621"/>
      <c r="G28" s="621"/>
      <c r="H28" s="59"/>
      <c r="I28" s="60" t="s">
        <v>60</v>
      </c>
      <c r="J28" s="61"/>
      <c r="K28" s="61"/>
      <c r="L28" s="616">
        <v>15</v>
      </c>
      <c r="M28" s="617"/>
      <c r="N28" s="60" t="s">
        <v>4</v>
      </c>
      <c r="O28" s="61"/>
      <c r="P28" s="61"/>
      <c r="Q28" s="616">
        <v>0</v>
      </c>
      <c r="R28" s="617"/>
      <c r="S28" s="479" t="s">
        <v>92</v>
      </c>
      <c r="T28" s="480"/>
      <c r="U28" s="480"/>
      <c r="V28" s="480"/>
      <c r="W28" s="616">
        <v>54</v>
      </c>
      <c r="X28" s="617"/>
      <c r="Y28" s="60" t="s">
        <v>98</v>
      </c>
      <c r="Z28" s="61"/>
      <c r="AA28" s="61"/>
      <c r="AB28" s="61"/>
      <c r="AC28" s="616">
        <v>48</v>
      </c>
      <c r="AD28" s="617"/>
      <c r="AE28" s="490"/>
      <c r="AF28" s="491"/>
      <c r="AG28" s="6"/>
      <c r="AH28" s="16"/>
      <c r="AI28" s="13"/>
      <c r="AJ28" s="13"/>
      <c r="AK28" s="16"/>
      <c r="AL28" s="16"/>
      <c r="AM28" s="16"/>
      <c r="AY28" s="80"/>
      <c r="AZ28" s="80"/>
    </row>
    <row r="29" spans="1:52" s="14" customFormat="1" ht="15.6" customHeight="1" x14ac:dyDescent="0.15">
      <c r="A29" s="49"/>
      <c r="B29" s="634"/>
      <c r="C29" s="635"/>
      <c r="D29" s="620"/>
      <c r="E29" s="621"/>
      <c r="F29" s="621"/>
      <c r="G29" s="621"/>
      <c r="H29" s="59"/>
      <c r="I29" s="60"/>
      <c r="J29" s="61"/>
      <c r="K29" s="61"/>
      <c r="L29" s="61"/>
      <c r="M29" s="63"/>
      <c r="N29" s="60" t="s">
        <v>60</v>
      </c>
      <c r="O29" s="61"/>
      <c r="P29" s="61"/>
      <c r="Q29" s="616">
        <v>7</v>
      </c>
      <c r="R29" s="617"/>
      <c r="S29" s="479" t="s">
        <v>94</v>
      </c>
      <c r="T29" s="480"/>
      <c r="U29" s="480"/>
      <c r="V29" s="480"/>
      <c r="W29" s="616">
        <v>16</v>
      </c>
      <c r="X29" s="617"/>
      <c r="Y29" s="60" t="s">
        <v>99</v>
      </c>
      <c r="Z29" s="61"/>
      <c r="AA29" s="61"/>
      <c r="AB29" s="61"/>
      <c r="AC29" s="618">
        <v>3</v>
      </c>
      <c r="AD29" s="619"/>
      <c r="AE29" s="490"/>
      <c r="AF29" s="491"/>
      <c r="AG29" s="6"/>
      <c r="AH29" s="16"/>
      <c r="AI29" s="13"/>
      <c r="AJ29" s="13"/>
      <c r="AK29" s="16"/>
      <c r="AL29" s="16"/>
      <c r="AM29" s="16"/>
      <c r="AY29" s="80"/>
      <c r="AZ29" s="80"/>
    </row>
    <row r="30" spans="1:52" s="14" customFormat="1" ht="15.6" customHeight="1" x14ac:dyDescent="0.15">
      <c r="A30" s="49"/>
      <c r="B30" s="634"/>
      <c r="C30" s="635"/>
      <c r="D30" s="479"/>
      <c r="E30" s="480"/>
      <c r="F30" s="480"/>
      <c r="G30" s="480"/>
      <c r="H30" s="59"/>
      <c r="I30" s="60"/>
      <c r="J30" s="61"/>
      <c r="K30" s="61"/>
      <c r="L30" s="61"/>
      <c r="M30" s="63"/>
      <c r="N30" s="60"/>
      <c r="O30" s="61"/>
      <c r="P30" s="61"/>
      <c r="Q30" s="474"/>
      <c r="R30" s="475"/>
      <c r="S30" s="479" t="s">
        <v>93</v>
      </c>
      <c r="T30" s="480"/>
      <c r="U30" s="480"/>
      <c r="V30" s="480"/>
      <c r="W30" s="616">
        <v>0</v>
      </c>
      <c r="X30" s="617"/>
      <c r="Y30" s="60" t="s">
        <v>100</v>
      </c>
      <c r="Z30" s="61"/>
      <c r="AA30" s="61"/>
      <c r="AB30" s="61"/>
      <c r="AC30" s="618">
        <v>12</v>
      </c>
      <c r="AD30" s="619"/>
      <c r="AE30" s="490"/>
      <c r="AF30" s="491"/>
      <c r="AG30" s="6"/>
      <c r="AH30" s="16"/>
      <c r="AI30" s="13"/>
      <c r="AJ30" s="13"/>
      <c r="AK30" s="16"/>
      <c r="AL30" s="16"/>
      <c r="AM30" s="16"/>
      <c r="AY30" s="80"/>
      <c r="AZ30" s="80"/>
    </row>
    <row r="31" spans="1:52" s="14" customFormat="1" ht="15.6" customHeight="1" x14ac:dyDescent="0.15">
      <c r="A31" s="49"/>
      <c r="B31" s="634"/>
      <c r="C31" s="635"/>
      <c r="D31" s="479"/>
      <c r="E31" s="480"/>
      <c r="F31" s="480"/>
      <c r="G31" s="480"/>
      <c r="H31" s="59"/>
      <c r="I31" s="60"/>
      <c r="J31" s="61"/>
      <c r="K31" s="61"/>
      <c r="L31" s="61"/>
      <c r="M31" s="63"/>
      <c r="N31" s="60"/>
      <c r="O31" s="61"/>
      <c r="P31" s="61"/>
      <c r="Q31" s="474"/>
      <c r="R31" s="475"/>
      <c r="S31" s="479" t="s">
        <v>95</v>
      </c>
      <c r="T31" s="480"/>
      <c r="U31" s="480"/>
      <c r="V31" s="480"/>
      <c r="W31" s="616">
        <v>29</v>
      </c>
      <c r="X31" s="617"/>
      <c r="Y31" s="60" t="s">
        <v>101</v>
      </c>
      <c r="Z31" s="61"/>
      <c r="AA31" s="61"/>
      <c r="AB31" s="61"/>
      <c r="AC31" s="618">
        <v>4</v>
      </c>
      <c r="AD31" s="619"/>
      <c r="AE31" s="490"/>
      <c r="AF31" s="491"/>
      <c r="AG31" s="6"/>
      <c r="AH31" s="16"/>
      <c r="AI31" s="16"/>
      <c r="AJ31" s="16"/>
      <c r="AK31" s="16"/>
      <c r="AL31" s="16"/>
      <c r="AM31" s="16"/>
      <c r="AY31" s="80"/>
      <c r="AZ31" s="80"/>
    </row>
    <row r="32" spans="1:52" s="14" customFormat="1" ht="15.6" customHeight="1" x14ac:dyDescent="0.15">
      <c r="A32" s="49"/>
      <c r="B32" s="634"/>
      <c r="C32" s="635"/>
      <c r="D32" s="479"/>
      <c r="E32" s="480"/>
      <c r="F32" s="480"/>
      <c r="G32" s="480"/>
      <c r="H32" s="59"/>
      <c r="I32" s="60"/>
      <c r="J32" s="61"/>
      <c r="K32" s="61"/>
      <c r="L32" s="61"/>
      <c r="M32" s="63"/>
      <c r="N32" s="60"/>
      <c r="O32" s="61"/>
      <c r="P32" s="61"/>
      <c r="Q32" s="474"/>
      <c r="R32" s="475"/>
      <c r="S32" s="479" t="s">
        <v>96</v>
      </c>
      <c r="T32" s="480"/>
      <c r="U32" s="480"/>
      <c r="V32" s="480"/>
      <c r="W32" s="616">
        <v>1</v>
      </c>
      <c r="X32" s="617"/>
      <c r="Y32" s="60" t="s">
        <v>103</v>
      </c>
      <c r="Z32" s="61"/>
      <c r="AA32" s="61"/>
      <c r="AB32" s="61"/>
      <c r="AC32" s="618">
        <v>22</v>
      </c>
      <c r="AD32" s="619"/>
      <c r="AE32" s="490"/>
      <c r="AF32" s="491"/>
      <c r="AG32" s="6"/>
      <c r="AH32" s="16"/>
      <c r="AI32" s="16"/>
      <c r="AJ32" s="16"/>
      <c r="AK32" s="16"/>
      <c r="AL32" s="16"/>
      <c r="AM32" s="16"/>
      <c r="AY32" s="80"/>
      <c r="AZ32" s="80"/>
    </row>
    <row r="33" spans="1:72" s="14" customFormat="1" ht="15.6" customHeight="1" x14ac:dyDescent="0.15">
      <c r="A33" s="49"/>
      <c r="B33" s="634"/>
      <c r="C33" s="635"/>
      <c r="D33" s="479"/>
      <c r="E33" s="480"/>
      <c r="F33" s="480"/>
      <c r="G33" s="480"/>
      <c r="H33" s="59"/>
      <c r="I33" s="60"/>
      <c r="J33" s="61"/>
      <c r="K33" s="61"/>
      <c r="L33" s="61"/>
      <c r="M33" s="63"/>
      <c r="N33" s="60"/>
      <c r="O33" s="61"/>
      <c r="P33" s="61"/>
      <c r="Q33" s="474"/>
      <c r="R33" s="475"/>
      <c r="S33" s="479" t="s">
        <v>80</v>
      </c>
      <c r="T33" s="480"/>
      <c r="U33" s="480"/>
      <c r="V33" s="480"/>
      <c r="W33" s="616">
        <v>112</v>
      </c>
      <c r="X33" s="617"/>
      <c r="Y33" s="60" t="s">
        <v>104</v>
      </c>
      <c r="Z33" s="61"/>
      <c r="AA33" s="61"/>
      <c r="AB33" s="61"/>
      <c r="AC33" s="618">
        <v>1</v>
      </c>
      <c r="AD33" s="619"/>
      <c r="AE33" s="490"/>
      <c r="AF33" s="491"/>
      <c r="AG33" s="6"/>
      <c r="AH33" s="16"/>
      <c r="AI33" s="16"/>
      <c r="AJ33" s="16"/>
      <c r="AK33" s="16"/>
      <c r="AL33" s="16"/>
      <c r="AM33" s="16"/>
      <c r="AY33" s="80"/>
      <c r="AZ33" s="80"/>
    </row>
    <row r="34" spans="1:72" s="3" customFormat="1" ht="15.6" customHeight="1" x14ac:dyDescent="0.15">
      <c r="A34" s="49"/>
      <c r="B34" s="634"/>
      <c r="C34" s="635"/>
      <c r="D34" s="479"/>
      <c r="E34" s="480"/>
      <c r="F34" s="480"/>
      <c r="G34" s="480"/>
      <c r="H34" s="59"/>
      <c r="I34" s="60"/>
      <c r="J34" s="61"/>
      <c r="K34" s="61"/>
      <c r="L34" s="61"/>
      <c r="M34" s="63"/>
      <c r="N34" s="60"/>
      <c r="O34" s="61"/>
      <c r="P34" s="61"/>
      <c r="Q34" s="474"/>
      <c r="R34" s="475"/>
      <c r="S34" s="479" t="s">
        <v>102</v>
      </c>
      <c r="T34" s="480"/>
      <c r="U34" s="480"/>
      <c r="V34" s="480"/>
      <c r="W34" s="616">
        <v>3</v>
      </c>
      <c r="X34" s="617"/>
      <c r="Y34" s="60" t="s">
        <v>105</v>
      </c>
      <c r="Z34" s="61"/>
      <c r="AA34" s="61"/>
      <c r="AB34" s="61"/>
      <c r="AC34" s="618">
        <v>45</v>
      </c>
      <c r="AD34" s="619"/>
      <c r="AE34" s="490"/>
      <c r="AF34" s="491"/>
      <c r="AG34" s="6"/>
      <c r="AH34" s="16"/>
      <c r="AI34" s="16"/>
      <c r="AJ34" s="16"/>
      <c r="AK34" s="16"/>
      <c r="AL34" s="16"/>
      <c r="AM34" s="16"/>
      <c r="AN34" s="14"/>
      <c r="AO34" s="14"/>
      <c r="AP34" s="14"/>
      <c r="AQ34" s="14"/>
      <c r="AR34" s="14"/>
      <c r="AS34" s="14"/>
      <c r="AT34" s="14"/>
      <c r="AU34" s="14"/>
      <c r="AY34" s="79"/>
      <c r="AZ34" s="79"/>
    </row>
    <row r="35" spans="1:72" s="2" customFormat="1" ht="15.6" customHeight="1" x14ac:dyDescent="0.15">
      <c r="A35" s="49"/>
      <c r="B35" s="636"/>
      <c r="C35" s="637"/>
      <c r="D35" s="628"/>
      <c r="E35" s="629"/>
      <c r="F35" s="629"/>
      <c r="G35" s="629"/>
      <c r="H35" s="64"/>
      <c r="I35" s="65"/>
      <c r="J35" s="66"/>
      <c r="K35" s="66"/>
      <c r="L35" s="66"/>
      <c r="M35" s="67"/>
      <c r="N35" s="65"/>
      <c r="O35" s="66"/>
      <c r="P35" s="66"/>
      <c r="Q35" s="66"/>
      <c r="R35" s="67"/>
      <c r="S35" s="476" t="s">
        <v>24</v>
      </c>
      <c r="T35" s="477"/>
      <c r="U35" s="477"/>
      <c r="V35" s="477"/>
      <c r="W35" s="630">
        <v>48</v>
      </c>
      <c r="X35" s="631"/>
      <c r="Y35" s="65" t="s">
        <v>24</v>
      </c>
      <c r="Z35" s="68"/>
      <c r="AA35" s="66"/>
      <c r="AB35" s="66"/>
      <c r="AC35" s="630">
        <v>29</v>
      </c>
      <c r="AD35" s="631"/>
      <c r="AE35" s="488"/>
      <c r="AF35" s="489"/>
      <c r="AG35" s="8"/>
      <c r="AH35" s="16"/>
      <c r="AI35" s="16"/>
      <c r="AJ35" s="16"/>
      <c r="AK35" s="16"/>
      <c r="AL35" s="16"/>
      <c r="AM35" s="16"/>
      <c r="AN35" s="537"/>
      <c r="AO35" s="537"/>
      <c r="AP35" s="537"/>
      <c r="AQ35" s="537"/>
      <c r="AR35" s="537"/>
      <c r="AS35" s="537"/>
      <c r="AT35" s="537"/>
      <c r="AU35" s="537"/>
      <c r="AY35" s="81"/>
      <c r="AZ35" s="81"/>
    </row>
    <row r="36" spans="1:72" s="14" customFormat="1" ht="15.6" customHeight="1" x14ac:dyDescent="0.15">
      <c r="A36" s="486" t="s">
        <v>220</v>
      </c>
      <c r="B36" s="227"/>
      <c r="C36" s="25"/>
      <c r="D36" s="489"/>
      <c r="E36" s="489"/>
      <c r="F36" s="489"/>
      <c r="G36" s="489"/>
      <c r="H36" s="48"/>
      <c r="I36" s="489"/>
      <c r="J36" s="489"/>
      <c r="K36" s="489"/>
      <c r="L36" s="489"/>
      <c r="M36" s="48"/>
      <c r="N36" s="489"/>
      <c r="O36" s="489"/>
      <c r="P36" s="489"/>
      <c r="Q36" s="489"/>
      <c r="R36" s="22"/>
      <c r="S36" s="503"/>
      <c r="T36" s="489"/>
      <c r="U36" s="489"/>
      <c r="V36" s="489"/>
      <c r="W36" s="504"/>
      <c r="X36" s="504"/>
      <c r="Y36" s="26"/>
      <c r="Z36" s="26"/>
      <c r="AA36" s="503"/>
      <c r="AB36" s="503"/>
      <c r="AC36" s="503"/>
      <c r="AD36" s="504"/>
      <c r="AE36" s="489"/>
      <c r="AF36" s="489"/>
      <c r="AG36" s="489"/>
      <c r="AH36" s="16"/>
      <c r="AI36" s="16"/>
      <c r="AJ36" s="16"/>
      <c r="AK36" s="16"/>
      <c r="AL36" s="18"/>
      <c r="AM36" s="16"/>
      <c r="AN36" s="17"/>
      <c r="AO36" s="10"/>
      <c r="AP36" s="10"/>
      <c r="AQ36" s="74"/>
      <c r="AR36" s="9"/>
      <c r="AS36" s="9"/>
      <c r="AT36" s="9"/>
      <c r="AU36" s="10"/>
      <c r="AV36" s="9"/>
      <c r="AW36" s="9"/>
      <c r="AX36" s="9"/>
      <c r="AY36" s="82"/>
      <c r="AZ36" s="82"/>
      <c r="BA36" s="9"/>
      <c r="BB36" s="9"/>
      <c r="BC36" s="9"/>
      <c r="BD36" s="9"/>
      <c r="BE36" s="10"/>
      <c r="BF36" s="9"/>
      <c r="BG36" s="9"/>
      <c r="BH36" s="9"/>
      <c r="BI36" s="11"/>
      <c r="BJ36" s="11"/>
      <c r="BK36" s="12"/>
      <c r="BL36" s="9"/>
      <c r="BM36" s="9"/>
      <c r="BN36" s="9"/>
      <c r="BO36" s="11"/>
      <c r="BP36" s="9"/>
      <c r="BQ36" s="9"/>
      <c r="BR36" s="9"/>
      <c r="BS36" s="9"/>
      <c r="BT36" s="491"/>
    </row>
    <row r="37" spans="1:72" s="14" customFormat="1" ht="15.6" customHeight="1" x14ac:dyDescent="0.15">
      <c r="A37" s="52"/>
      <c r="B37" s="595" t="s">
        <v>14</v>
      </c>
      <c r="C37" s="595"/>
      <c r="D37" s="595" t="s">
        <v>15</v>
      </c>
      <c r="E37" s="595"/>
      <c r="F37" s="595"/>
      <c r="G37" s="595"/>
      <c r="H37" s="595"/>
      <c r="I37" s="595" t="s">
        <v>16</v>
      </c>
      <c r="J37" s="595"/>
      <c r="K37" s="595"/>
      <c r="L37" s="595"/>
      <c r="M37" s="595"/>
      <c r="N37" s="595" t="s">
        <v>17</v>
      </c>
      <c r="O37" s="595"/>
      <c r="P37" s="595"/>
      <c r="Q37" s="595"/>
      <c r="R37" s="595"/>
      <c r="S37" s="608" t="s">
        <v>18</v>
      </c>
      <c r="T37" s="609"/>
      <c r="U37" s="609"/>
      <c r="V37" s="609"/>
      <c r="W37" s="609"/>
      <c r="X37" s="610"/>
      <c r="Y37" s="608" t="s">
        <v>19</v>
      </c>
      <c r="Z37" s="609"/>
      <c r="AA37" s="609"/>
      <c r="AB37" s="609"/>
      <c r="AC37" s="609"/>
      <c r="AD37" s="610"/>
      <c r="AE37" s="608" t="s">
        <v>72</v>
      </c>
      <c r="AF37" s="609"/>
      <c r="AG37" s="610"/>
      <c r="AH37" s="16"/>
      <c r="AI37" s="16"/>
      <c r="AJ37" s="16"/>
      <c r="AK37" s="16"/>
      <c r="AL37" s="16"/>
      <c r="AM37" s="16"/>
      <c r="AY37" s="80"/>
      <c r="AZ37" s="80"/>
    </row>
    <row r="38" spans="1:72" s="3" customFormat="1" ht="15.6" customHeight="1" x14ac:dyDescent="0.15">
      <c r="A38" s="49"/>
      <c r="B38" s="611" t="s">
        <v>9</v>
      </c>
      <c r="C38" s="611"/>
      <c r="D38" s="612">
        <f>25+35+25+24+27+31+35+24+25+32+37</f>
        <v>320</v>
      </c>
      <c r="E38" s="612"/>
      <c r="F38" s="612"/>
      <c r="G38" s="612"/>
      <c r="H38" s="612"/>
      <c r="I38" s="612">
        <f>3+4+5+0+0+0+1+3+0+1+2</f>
        <v>19</v>
      </c>
      <c r="J38" s="612"/>
      <c r="K38" s="612"/>
      <c r="L38" s="612"/>
      <c r="M38" s="612"/>
      <c r="N38" s="612">
        <f>1+0+4+1+3+3+5+4+1+0+4</f>
        <v>26</v>
      </c>
      <c r="O38" s="612"/>
      <c r="P38" s="612"/>
      <c r="Q38" s="612"/>
      <c r="R38" s="612"/>
      <c r="S38" s="638">
        <f>22+28+20+24+23+26+20+30+24+26+31</f>
        <v>274</v>
      </c>
      <c r="T38" s="639"/>
      <c r="U38" s="639"/>
      <c r="V38" s="639"/>
      <c r="W38" s="639"/>
      <c r="X38" s="640"/>
      <c r="Y38" s="638">
        <f>22+22+27+26+21+36+17+23+22+26+33</f>
        <v>275</v>
      </c>
      <c r="Z38" s="639"/>
      <c r="AA38" s="639"/>
      <c r="AB38" s="639"/>
      <c r="AC38" s="639"/>
      <c r="AD38" s="640"/>
      <c r="AE38" s="613">
        <f>S38-Y38</f>
        <v>-1</v>
      </c>
      <c r="AF38" s="614"/>
      <c r="AG38" s="615"/>
      <c r="AH38" s="537"/>
      <c r="AI38" s="537"/>
      <c r="AJ38" s="888"/>
      <c r="AK38" s="888"/>
      <c r="AL38" s="888"/>
      <c r="AM38" s="888"/>
      <c r="AN38" s="18"/>
      <c r="AO38" s="14"/>
      <c r="AP38" s="14"/>
      <c r="AQ38" s="14"/>
      <c r="AR38" s="14"/>
      <c r="AS38" s="14"/>
      <c r="AT38" s="14"/>
      <c r="AU38" s="14"/>
      <c r="AY38" s="79"/>
      <c r="AZ38" s="79"/>
    </row>
    <row r="39" spans="1:72" s="3" customFormat="1" ht="15.6" customHeight="1" x14ac:dyDescent="0.15">
      <c r="A39" s="49"/>
      <c r="B39" s="632" t="s">
        <v>202</v>
      </c>
      <c r="C39" s="633"/>
      <c r="D39" s="624"/>
      <c r="E39" s="625"/>
      <c r="F39" s="625"/>
      <c r="G39" s="626"/>
      <c r="H39" s="627"/>
      <c r="I39" s="57" t="s">
        <v>22</v>
      </c>
      <c r="J39" s="58"/>
      <c r="K39" s="58"/>
      <c r="L39" s="622">
        <f>1+1+1+2</f>
        <v>5</v>
      </c>
      <c r="M39" s="623"/>
      <c r="N39" s="28" t="s">
        <v>62</v>
      </c>
      <c r="O39" s="507"/>
      <c r="P39" s="507"/>
      <c r="Q39" s="648">
        <f>1+2+0+0+3+3+1+1+1+4</f>
        <v>16</v>
      </c>
      <c r="R39" s="649"/>
      <c r="S39" s="481" t="s">
        <v>23</v>
      </c>
      <c r="T39" s="482"/>
      <c r="U39" s="482"/>
      <c r="V39" s="482"/>
      <c r="W39" s="622">
        <f>2+5+5+2+0+1+2+0+3+4+2</f>
        <v>26</v>
      </c>
      <c r="X39" s="623"/>
      <c r="Y39" s="57" t="s">
        <v>97</v>
      </c>
      <c r="Z39" s="482"/>
      <c r="AA39" s="482"/>
      <c r="AB39" s="482"/>
      <c r="AC39" s="622">
        <f>0+0+0+0+0+0+0+0+0+0+0</f>
        <v>0</v>
      </c>
      <c r="AD39" s="623"/>
      <c r="AE39" s="492"/>
      <c r="AF39" s="493"/>
      <c r="AG39" s="5"/>
      <c r="AH39" s="16"/>
      <c r="AI39" s="16"/>
      <c r="AJ39" s="643"/>
      <c r="AK39" s="643"/>
      <c r="AL39" s="643"/>
      <c r="AM39" s="643"/>
      <c r="AN39" s="14"/>
      <c r="AO39" s="14"/>
      <c r="AP39" s="14"/>
      <c r="AQ39" s="14"/>
      <c r="AR39" s="14"/>
      <c r="AS39" s="14"/>
      <c r="AT39" s="14"/>
      <c r="AU39" s="14"/>
      <c r="AY39" s="79"/>
      <c r="AZ39" s="79"/>
    </row>
    <row r="40" spans="1:72" s="3" customFormat="1" ht="15.6" customHeight="1" x14ac:dyDescent="0.15">
      <c r="A40" s="49"/>
      <c r="B40" s="634"/>
      <c r="C40" s="635"/>
      <c r="D40" s="620"/>
      <c r="E40" s="621"/>
      <c r="F40" s="621"/>
      <c r="G40" s="621"/>
      <c r="H40" s="59"/>
      <c r="I40" s="60" t="s">
        <v>0</v>
      </c>
      <c r="J40" s="61"/>
      <c r="K40" s="61"/>
      <c r="L40" s="616">
        <f>1+0+1</f>
        <v>2</v>
      </c>
      <c r="M40" s="617"/>
      <c r="N40" s="505" t="s">
        <v>3</v>
      </c>
      <c r="O40" s="506"/>
      <c r="P40" s="506"/>
      <c r="Q40" s="641">
        <f>0+0+0+0+0+0+3+1+0</f>
        <v>4</v>
      </c>
      <c r="R40" s="642"/>
      <c r="S40" s="479" t="s">
        <v>90</v>
      </c>
      <c r="T40" s="480"/>
      <c r="U40" s="480"/>
      <c r="V40" s="480"/>
      <c r="W40" s="616">
        <f>0+0+0+0+0+0+0+0+0+0+0</f>
        <v>0</v>
      </c>
      <c r="X40" s="617"/>
      <c r="Y40" s="60" t="s">
        <v>4</v>
      </c>
      <c r="Z40" s="61"/>
      <c r="AA40" s="61"/>
      <c r="AB40" s="61"/>
      <c r="AC40" s="616">
        <f>12+7+12+10+9+10+7+12+12+15+21</f>
        <v>127</v>
      </c>
      <c r="AD40" s="617"/>
      <c r="AE40" s="490"/>
      <c r="AF40" s="491"/>
      <c r="AG40" s="6"/>
      <c r="AH40" s="16"/>
      <c r="AI40" s="16"/>
      <c r="AJ40" s="16"/>
      <c r="AK40" s="16"/>
      <c r="AL40" s="16"/>
      <c r="AM40" s="16"/>
      <c r="AN40" s="14"/>
      <c r="AO40" s="14"/>
      <c r="AP40" s="14"/>
      <c r="AQ40" s="14"/>
      <c r="AR40" s="14"/>
      <c r="AS40" s="14"/>
      <c r="AT40" s="14"/>
      <c r="AU40" s="14"/>
      <c r="AY40" s="79"/>
      <c r="AZ40" s="79"/>
    </row>
    <row r="41" spans="1:72" s="3" customFormat="1" ht="15.6" customHeight="1" x14ac:dyDescent="0.15">
      <c r="A41" s="49"/>
      <c r="B41" s="634"/>
      <c r="C41" s="635"/>
      <c r="D41" s="620"/>
      <c r="E41" s="621"/>
      <c r="F41" s="621"/>
      <c r="G41" s="621"/>
      <c r="H41" s="59"/>
      <c r="I41" s="60" t="s">
        <v>61</v>
      </c>
      <c r="J41" s="61"/>
      <c r="K41" s="61"/>
      <c r="L41" s="616">
        <f>0+0+1</f>
        <v>1</v>
      </c>
      <c r="M41" s="617"/>
      <c r="N41" s="505" t="s">
        <v>0</v>
      </c>
      <c r="O41" s="506"/>
      <c r="P41" s="506"/>
      <c r="Q41" s="641">
        <f>0+0+0+0+0+0+0+0+0</f>
        <v>0</v>
      </c>
      <c r="R41" s="642"/>
      <c r="S41" s="479" t="s">
        <v>91</v>
      </c>
      <c r="T41" s="480"/>
      <c r="U41" s="480"/>
      <c r="V41" s="480"/>
      <c r="W41" s="616">
        <f>1+1+0+1+2+4+0+0+1+0+1</f>
        <v>11</v>
      </c>
      <c r="X41" s="617"/>
      <c r="Y41" s="60" t="s">
        <v>2</v>
      </c>
      <c r="Z41" s="62"/>
      <c r="AA41" s="62"/>
      <c r="AB41" s="62"/>
      <c r="AC41" s="616">
        <f>1+2+1+0+0+2+1+0+2+0+0</f>
        <v>9</v>
      </c>
      <c r="AD41" s="617"/>
      <c r="AE41" s="490"/>
      <c r="AF41" s="491"/>
      <c r="AG41" s="6"/>
      <c r="AH41" s="16"/>
      <c r="AI41" s="16"/>
      <c r="AJ41" s="643"/>
      <c r="AK41" s="643"/>
      <c r="AL41" s="643"/>
      <c r="AM41" s="643"/>
      <c r="AN41" s="14"/>
      <c r="AO41" s="14"/>
      <c r="AP41" s="14"/>
      <c r="AQ41" s="14"/>
      <c r="AR41" s="14"/>
      <c r="AS41" s="14"/>
      <c r="AT41" s="14"/>
      <c r="AU41" s="14"/>
      <c r="AY41" s="79"/>
      <c r="AZ41" s="79"/>
    </row>
    <row r="42" spans="1:72" s="3" customFormat="1" ht="15.6" customHeight="1" x14ac:dyDescent="0.15">
      <c r="A42" s="49"/>
      <c r="B42" s="634"/>
      <c r="C42" s="635"/>
      <c r="D42" s="620"/>
      <c r="E42" s="621"/>
      <c r="F42" s="621"/>
      <c r="G42" s="621"/>
      <c r="H42" s="59"/>
      <c r="I42" s="60" t="s">
        <v>60</v>
      </c>
      <c r="J42" s="61"/>
      <c r="K42" s="61"/>
      <c r="L42" s="616">
        <f>1+3+5+1+1</f>
        <v>11</v>
      </c>
      <c r="M42" s="617"/>
      <c r="N42" s="505" t="s">
        <v>4</v>
      </c>
      <c r="O42" s="506"/>
      <c r="P42" s="506"/>
      <c r="Q42" s="641">
        <f>0+0+0+0+0+0+0+0+0</f>
        <v>0</v>
      </c>
      <c r="R42" s="642"/>
      <c r="S42" s="479" t="s">
        <v>92</v>
      </c>
      <c r="T42" s="480"/>
      <c r="U42" s="480"/>
      <c r="V42" s="480"/>
      <c r="W42" s="616">
        <f>6+2+1+3+1+1+2+0+1+0+0</f>
        <v>17</v>
      </c>
      <c r="X42" s="617"/>
      <c r="Y42" s="60" t="s">
        <v>98</v>
      </c>
      <c r="Z42" s="61"/>
      <c r="AA42" s="61"/>
      <c r="AB42" s="61"/>
      <c r="AC42" s="616">
        <f>1+3+4+2+3+5+2+3+1+1+2</f>
        <v>27</v>
      </c>
      <c r="AD42" s="617"/>
      <c r="AE42" s="490"/>
      <c r="AF42" s="491"/>
      <c r="AG42" s="6"/>
      <c r="AH42" s="16"/>
      <c r="AI42" s="541"/>
      <c r="AJ42" s="16"/>
      <c r="AK42" s="16"/>
      <c r="AL42" s="16"/>
      <c r="AM42" s="16"/>
      <c r="AN42" s="14"/>
      <c r="AO42" s="14"/>
      <c r="AP42" s="14"/>
      <c r="AQ42" s="14"/>
      <c r="AR42" s="14"/>
      <c r="AS42" s="14"/>
      <c r="AT42" s="14"/>
      <c r="AU42" s="14"/>
      <c r="AY42" s="79"/>
      <c r="AZ42" s="79"/>
    </row>
    <row r="43" spans="1:72" s="3" customFormat="1" ht="15.6" customHeight="1" x14ac:dyDescent="0.15">
      <c r="A43" s="49"/>
      <c r="B43" s="634"/>
      <c r="C43" s="635"/>
      <c r="D43" s="620"/>
      <c r="E43" s="621"/>
      <c r="F43" s="621"/>
      <c r="G43" s="621"/>
      <c r="H43" s="59"/>
      <c r="I43" s="60"/>
      <c r="J43" s="61"/>
      <c r="K43" s="61"/>
      <c r="L43" s="61"/>
      <c r="M43" s="63"/>
      <c r="N43" s="505" t="s">
        <v>60</v>
      </c>
      <c r="O43" s="506"/>
      <c r="P43" s="506"/>
      <c r="Q43" s="641">
        <f>0+2+1+0+0+0+1+2+0+0</f>
        <v>6</v>
      </c>
      <c r="R43" s="642"/>
      <c r="S43" s="479" t="s">
        <v>94</v>
      </c>
      <c r="T43" s="480"/>
      <c r="U43" s="480"/>
      <c r="V43" s="480"/>
      <c r="W43" s="616">
        <f>0+0+0+0+1+1+0+0+0+0+0</f>
        <v>2</v>
      </c>
      <c r="X43" s="617"/>
      <c r="Y43" s="60" t="s">
        <v>99</v>
      </c>
      <c r="Z43" s="61"/>
      <c r="AA43" s="61"/>
      <c r="AB43" s="61"/>
      <c r="AC43" s="618">
        <f>0+0+0+0+0+2+1+0+0+0+0</f>
        <v>3</v>
      </c>
      <c r="AD43" s="619"/>
      <c r="AE43" s="490"/>
      <c r="AF43" s="491"/>
      <c r="AG43" s="6"/>
      <c r="AH43" s="16"/>
      <c r="AI43" s="541"/>
      <c r="AJ43" s="16"/>
      <c r="AK43" s="16"/>
      <c r="AL43" s="16"/>
      <c r="AM43" s="16"/>
      <c r="AN43" s="14"/>
      <c r="AO43" s="14"/>
      <c r="AP43" s="14"/>
      <c r="AQ43" s="14"/>
      <c r="AR43" s="14"/>
      <c r="AS43" s="14"/>
      <c r="AT43" s="14"/>
      <c r="AU43" s="14"/>
      <c r="AY43" s="79"/>
      <c r="AZ43" s="79"/>
    </row>
    <row r="44" spans="1:72" s="3" customFormat="1" ht="15.6" customHeight="1" x14ac:dyDescent="0.15">
      <c r="A44" s="49"/>
      <c r="B44" s="634"/>
      <c r="C44" s="635"/>
      <c r="D44" s="479"/>
      <c r="E44" s="480"/>
      <c r="F44" s="480"/>
      <c r="G44" s="480"/>
      <c r="H44" s="59"/>
      <c r="I44" s="60"/>
      <c r="J44" s="61"/>
      <c r="K44" s="61"/>
      <c r="L44" s="61"/>
      <c r="M44" s="63"/>
      <c r="N44" s="60"/>
      <c r="O44" s="61"/>
      <c r="P44" s="61"/>
      <c r="Q44" s="474"/>
      <c r="R44" s="475"/>
      <c r="S44" s="479" t="s">
        <v>93</v>
      </c>
      <c r="T44" s="480"/>
      <c r="U44" s="480"/>
      <c r="V44" s="480"/>
      <c r="W44" s="616">
        <f>0+0+0+0+0+0+0+1+0+0+0</f>
        <v>1</v>
      </c>
      <c r="X44" s="617"/>
      <c r="Y44" s="60" t="s">
        <v>100</v>
      </c>
      <c r="Z44" s="61"/>
      <c r="AA44" s="61"/>
      <c r="AB44" s="61"/>
      <c r="AC44" s="618">
        <f>0+1+0+3+0+0+1+0+0+0+1</f>
        <v>6</v>
      </c>
      <c r="AD44" s="619"/>
      <c r="AE44" s="490"/>
      <c r="AF44" s="491"/>
      <c r="AG44" s="6"/>
      <c r="AH44" s="16"/>
      <c r="AI44" s="541"/>
      <c r="AJ44" s="16"/>
      <c r="AK44" s="16"/>
      <c r="AL44" s="16"/>
      <c r="AM44" s="16"/>
      <c r="AN44" s="14"/>
      <c r="AO44" s="14"/>
      <c r="AP44" s="14"/>
      <c r="AQ44" s="14"/>
      <c r="AR44" s="14"/>
      <c r="AS44" s="14"/>
      <c r="AT44" s="14"/>
      <c r="AU44" s="14"/>
      <c r="AY44" s="79"/>
      <c r="AZ44" s="79"/>
    </row>
    <row r="45" spans="1:72" s="3" customFormat="1" ht="15.6" customHeight="1" x14ac:dyDescent="0.15">
      <c r="A45" s="49"/>
      <c r="B45" s="634"/>
      <c r="C45" s="635"/>
      <c r="D45" s="479"/>
      <c r="E45" s="480"/>
      <c r="F45" s="480"/>
      <c r="G45" s="480"/>
      <c r="H45" s="59"/>
      <c r="I45" s="60"/>
      <c r="J45" s="61"/>
      <c r="K45" s="61"/>
      <c r="L45" s="61"/>
      <c r="M45" s="63"/>
      <c r="N45" s="60"/>
      <c r="O45" s="61"/>
      <c r="P45" s="61"/>
      <c r="Q45" s="474"/>
      <c r="R45" s="475"/>
      <c r="S45" s="479" t="s">
        <v>95</v>
      </c>
      <c r="T45" s="480"/>
      <c r="U45" s="480"/>
      <c r="V45" s="480"/>
      <c r="W45" s="616">
        <f>0+3+4+3+0+0+0+1+2+0+2</f>
        <v>15</v>
      </c>
      <c r="X45" s="617"/>
      <c r="Y45" s="60" t="s">
        <v>101</v>
      </c>
      <c r="Z45" s="61"/>
      <c r="AA45" s="61"/>
      <c r="AB45" s="61"/>
      <c r="AC45" s="618">
        <f>0+0+0+0+1+0+0+0+0+0+0</f>
        <v>1</v>
      </c>
      <c r="AD45" s="619"/>
      <c r="AE45" s="490"/>
      <c r="AF45" s="491"/>
      <c r="AG45" s="6"/>
      <c r="AH45" s="16"/>
      <c r="AI45" s="541"/>
      <c r="AJ45" s="16"/>
      <c r="AK45" s="16"/>
      <c r="AL45" s="16"/>
      <c r="AM45" s="16"/>
      <c r="AN45" s="14"/>
      <c r="AO45" s="14"/>
      <c r="AP45" s="14"/>
      <c r="AQ45" s="14"/>
      <c r="AR45" s="14"/>
      <c r="AS45" s="14"/>
      <c r="AT45" s="14"/>
      <c r="AU45" s="14"/>
      <c r="AY45" s="79"/>
      <c r="AZ45" s="79"/>
    </row>
    <row r="46" spans="1:72" s="3" customFormat="1" ht="15.6" customHeight="1" x14ac:dyDescent="0.15">
      <c r="A46" s="49"/>
      <c r="B46" s="634"/>
      <c r="C46" s="635"/>
      <c r="D46" s="479"/>
      <c r="E46" s="480"/>
      <c r="F46" s="480"/>
      <c r="G46" s="480"/>
      <c r="H46" s="59"/>
      <c r="I46" s="60"/>
      <c r="J46" s="61"/>
      <c r="K46" s="61"/>
      <c r="L46" s="61"/>
      <c r="M46" s="63"/>
      <c r="N46" s="60"/>
      <c r="O46" s="61"/>
      <c r="P46" s="61"/>
      <c r="Q46" s="474"/>
      <c r="R46" s="475"/>
      <c r="S46" s="479" t="s">
        <v>96</v>
      </c>
      <c r="T46" s="480"/>
      <c r="U46" s="480"/>
      <c r="V46" s="480"/>
      <c r="W46" s="616">
        <f>0+0+1+0+0+0+0+0+0+0+0</f>
        <v>1</v>
      </c>
      <c r="X46" s="617"/>
      <c r="Y46" s="60" t="s">
        <v>103</v>
      </c>
      <c r="Z46" s="61"/>
      <c r="AA46" s="61"/>
      <c r="AB46" s="61"/>
      <c r="AC46" s="618">
        <f>1+5+1+1+3+2+0+2+0+2+1</f>
        <v>18</v>
      </c>
      <c r="AD46" s="619"/>
      <c r="AE46" s="490"/>
      <c r="AF46" s="491"/>
      <c r="AG46" s="6"/>
      <c r="AH46" s="16"/>
      <c r="AI46" s="541"/>
      <c r="AJ46" s="16"/>
      <c r="AK46" s="16"/>
      <c r="AL46" s="16"/>
      <c r="AM46" s="16"/>
      <c r="AN46" s="14"/>
      <c r="AO46" s="14"/>
      <c r="AP46" s="14"/>
      <c r="AQ46" s="14"/>
      <c r="AR46" s="14"/>
      <c r="AS46" s="14"/>
      <c r="AT46" s="14"/>
      <c r="AU46" s="14"/>
      <c r="AY46" s="79"/>
      <c r="AZ46" s="79"/>
    </row>
    <row r="47" spans="1:72" s="3" customFormat="1" ht="15.6" customHeight="1" x14ac:dyDescent="0.15">
      <c r="A47" s="49"/>
      <c r="B47" s="634"/>
      <c r="C47" s="635"/>
      <c r="D47" s="479"/>
      <c r="E47" s="480"/>
      <c r="F47" s="480"/>
      <c r="G47" s="480"/>
      <c r="H47" s="59"/>
      <c r="I47" s="60"/>
      <c r="J47" s="61"/>
      <c r="K47" s="61"/>
      <c r="L47" s="61"/>
      <c r="M47" s="63"/>
      <c r="N47" s="60"/>
      <c r="O47" s="61"/>
      <c r="P47" s="61"/>
      <c r="Q47" s="474"/>
      <c r="R47" s="475"/>
      <c r="S47" s="479" t="s">
        <v>80</v>
      </c>
      <c r="T47" s="480"/>
      <c r="U47" s="480"/>
      <c r="V47" s="480"/>
      <c r="W47" s="616">
        <f>12+14+8+14+16+16+14+26+16+16+19</f>
        <v>171</v>
      </c>
      <c r="X47" s="617"/>
      <c r="Y47" s="60" t="s">
        <v>104</v>
      </c>
      <c r="Z47" s="61"/>
      <c r="AA47" s="61"/>
      <c r="AB47" s="61"/>
      <c r="AC47" s="618">
        <f>0+0+0+1+0+1+0+0+0+0+0</f>
        <v>2</v>
      </c>
      <c r="AD47" s="619"/>
      <c r="AE47" s="490"/>
      <c r="AF47" s="491"/>
      <c r="AG47" s="6"/>
      <c r="AH47" s="16"/>
      <c r="AI47" s="16"/>
      <c r="AJ47" s="16"/>
      <c r="AK47" s="16"/>
      <c r="AL47" s="16"/>
      <c r="AM47" s="16"/>
      <c r="AN47" s="14"/>
      <c r="AO47" s="14"/>
      <c r="AP47" s="14"/>
      <c r="AQ47" s="14"/>
      <c r="AR47" s="14"/>
      <c r="AS47" s="14"/>
      <c r="AT47" s="14"/>
      <c r="AU47" s="14"/>
      <c r="AY47" s="79"/>
      <c r="AZ47" s="79"/>
    </row>
    <row r="48" spans="1:72" s="3" customFormat="1" ht="15.6" customHeight="1" x14ac:dyDescent="0.15">
      <c r="A48" s="49"/>
      <c r="B48" s="634"/>
      <c r="C48" s="635"/>
      <c r="D48" s="479"/>
      <c r="E48" s="480"/>
      <c r="F48" s="480"/>
      <c r="G48" s="480"/>
      <c r="H48" s="59"/>
      <c r="I48" s="60"/>
      <c r="J48" s="61"/>
      <c r="K48" s="61"/>
      <c r="L48" s="61"/>
      <c r="M48" s="63"/>
      <c r="N48" s="60"/>
      <c r="O48" s="61"/>
      <c r="P48" s="61"/>
      <c r="Q48" s="474"/>
      <c r="R48" s="475"/>
      <c r="S48" s="479" t="s">
        <v>102</v>
      </c>
      <c r="T48" s="480"/>
      <c r="U48" s="480"/>
      <c r="V48" s="480"/>
      <c r="W48" s="616">
        <f>0+0+0+0+1+1+0+1+0+1+2</f>
        <v>6</v>
      </c>
      <c r="X48" s="617"/>
      <c r="Y48" s="60" t="s">
        <v>105</v>
      </c>
      <c r="Z48" s="61"/>
      <c r="AA48" s="61"/>
      <c r="AB48" s="61"/>
      <c r="AC48" s="618">
        <f>2+4+7+1+4+10+4+4+3+3+4</f>
        <v>46</v>
      </c>
      <c r="AD48" s="619"/>
      <c r="AE48" s="490"/>
      <c r="AF48" s="491"/>
      <c r="AG48" s="6"/>
      <c r="AH48" s="16"/>
      <c r="AI48" s="16"/>
      <c r="AJ48" s="16"/>
      <c r="AK48" s="16"/>
      <c r="AL48" s="16"/>
      <c r="AM48" s="16"/>
      <c r="AN48" s="14"/>
      <c r="AO48" s="14"/>
      <c r="AP48" s="14"/>
      <c r="AQ48" s="14"/>
      <c r="AR48" s="14"/>
      <c r="AS48" s="14"/>
      <c r="AT48" s="14"/>
      <c r="AU48" s="14"/>
      <c r="AY48" s="79"/>
      <c r="AZ48" s="79"/>
    </row>
    <row r="49" spans="1:52" s="3" customFormat="1" ht="15.6" customHeight="1" x14ac:dyDescent="0.15">
      <c r="A49" s="49"/>
      <c r="B49" s="636"/>
      <c r="C49" s="637"/>
      <c r="D49" s="628"/>
      <c r="E49" s="629"/>
      <c r="F49" s="629"/>
      <c r="G49" s="629"/>
      <c r="H49" s="64"/>
      <c r="I49" s="65"/>
      <c r="J49" s="66"/>
      <c r="K49" s="66"/>
      <c r="L49" s="66"/>
      <c r="M49" s="67"/>
      <c r="N49" s="65"/>
      <c r="O49" s="66"/>
      <c r="P49" s="66"/>
      <c r="Q49" s="66"/>
      <c r="R49" s="67"/>
      <c r="S49" s="476" t="s">
        <v>24</v>
      </c>
      <c r="T49" s="477"/>
      <c r="U49" s="477"/>
      <c r="V49" s="477"/>
      <c r="W49" s="630">
        <f>1+3+1+1+2+2+2+2+2+3+5</f>
        <v>24</v>
      </c>
      <c r="X49" s="631"/>
      <c r="Y49" s="65" t="s">
        <v>24</v>
      </c>
      <c r="Z49" s="68"/>
      <c r="AA49" s="66"/>
      <c r="AB49" s="66"/>
      <c r="AC49" s="630">
        <f>5+0+2+8+1+4+1+2+4+5+4</f>
        <v>36</v>
      </c>
      <c r="AD49" s="631"/>
      <c r="AE49" s="488"/>
      <c r="AF49" s="489"/>
      <c r="AG49" s="8"/>
      <c r="AH49" s="16"/>
      <c r="AI49" s="16"/>
      <c r="AJ49" s="16"/>
      <c r="AK49" s="16"/>
      <c r="AL49" s="16"/>
      <c r="AM49" s="16"/>
      <c r="AN49" s="14"/>
      <c r="AO49" s="14"/>
      <c r="AP49" s="14"/>
      <c r="AQ49" s="14"/>
      <c r="AR49" s="14"/>
      <c r="AS49" s="14"/>
      <c r="AT49" s="14"/>
      <c r="AU49" s="14"/>
      <c r="AY49" s="79"/>
      <c r="AZ49" s="79"/>
    </row>
    <row r="50" spans="1:52" s="3" customFormat="1" ht="15.6" customHeight="1" x14ac:dyDescent="0.15">
      <c r="A50" s="49"/>
      <c r="B50" s="498"/>
      <c r="C50" s="498"/>
      <c r="D50" s="491"/>
      <c r="E50" s="491"/>
      <c r="F50" s="491"/>
      <c r="G50" s="491"/>
      <c r="H50" s="491"/>
      <c r="I50" s="491"/>
      <c r="J50" s="491"/>
      <c r="K50" s="491"/>
      <c r="L50" s="491"/>
      <c r="M50" s="491"/>
      <c r="N50" s="491"/>
      <c r="O50" s="491"/>
      <c r="P50" s="501"/>
      <c r="Q50" s="501"/>
      <c r="R50" s="498"/>
      <c r="S50" s="491"/>
      <c r="T50" s="491"/>
      <c r="U50" s="491"/>
      <c r="V50" s="491"/>
      <c r="W50" s="499"/>
      <c r="X50" s="499"/>
      <c r="Y50" s="501"/>
      <c r="Z50" s="37"/>
      <c r="AA50" s="501"/>
      <c r="AB50" s="501"/>
      <c r="AC50" s="499"/>
      <c r="AD50" s="499"/>
      <c r="AE50" s="491"/>
      <c r="AF50" s="491"/>
      <c r="AG50" s="491"/>
      <c r="AH50" s="16"/>
      <c r="AI50" s="16"/>
      <c r="AJ50" s="16"/>
      <c r="AK50" s="16"/>
      <c r="AL50" s="16"/>
      <c r="AM50" s="16"/>
      <c r="AN50" s="14"/>
      <c r="AO50" s="14"/>
      <c r="AP50" s="14"/>
      <c r="AQ50" s="14"/>
      <c r="AR50" s="14"/>
      <c r="AS50" s="14"/>
      <c r="AT50" s="14"/>
      <c r="AU50" s="14"/>
      <c r="AY50" s="79"/>
      <c r="AZ50" s="79"/>
    </row>
    <row r="51" spans="1:52" s="3" customFormat="1" ht="15.6" customHeight="1" x14ac:dyDescent="0.15">
      <c r="A51" s="49"/>
      <c r="B51" s="498"/>
      <c r="C51" s="498"/>
      <c r="D51" s="491"/>
      <c r="E51" s="491"/>
      <c r="F51" s="491"/>
      <c r="G51" s="491"/>
      <c r="H51" s="491"/>
      <c r="I51" s="491"/>
      <c r="J51" s="491"/>
      <c r="K51" s="491"/>
      <c r="L51" s="491"/>
      <c r="M51" s="491"/>
      <c r="N51" s="491"/>
      <c r="O51" s="491"/>
      <c r="P51" s="501"/>
      <c r="Q51" s="501"/>
      <c r="R51" s="498"/>
      <c r="S51" s="491"/>
      <c r="T51" s="491"/>
      <c r="U51" s="491"/>
      <c r="V51" s="491"/>
      <c r="W51" s="499"/>
      <c r="X51" s="499"/>
      <c r="Y51" s="501"/>
      <c r="Z51" s="37"/>
      <c r="AA51" s="501"/>
      <c r="AB51" s="501"/>
      <c r="AC51" s="499"/>
      <c r="AD51" s="499"/>
      <c r="AE51" s="491"/>
      <c r="AF51" s="491"/>
      <c r="AG51" s="491"/>
      <c r="AH51" s="16"/>
      <c r="AI51" s="16"/>
      <c r="AJ51" s="16"/>
      <c r="AK51" s="16"/>
      <c r="AL51" s="16"/>
      <c r="AM51" s="16"/>
      <c r="AN51" s="14"/>
      <c r="AO51" s="14"/>
      <c r="AP51" s="14"/>
      <c r="AQ51" s="14"/>
      <c r="AR51" s="14"/>
      <c r="AS51" s="14"/>
      <c r="AT51" s="14"/>
      <c r="AU51" s="14"/>
      <c r="AY51" s="79"/>
      <c r="AZ51" s="79"/>
    </row>
    <row r="52" spans="1:52" s="3" customFormat="1" ht="15.6" customHeight="1" x14ac:dyDescent="0.15">
      <c r="A52" s="49"/>
      <c r="B52" s="498"/>
      <c r="C52" s="498"/>
      <c r="D52" s="491"/>
      <c r="E52" s="491"/>
      <c r="F52" s="491"/>
      <c r="G52" s="491"/>
      <c r="H52" s="491"/>
      <c r="I52" s="491"/>
      <c r="J52" s="491"/>
      <c r="K52" s="491"/>
      <c r="L52" s="491"/>
      <c r="M52" s="491"/>
      <c r="N52" s="491"/>
      <c r="O52" s="491"/>
      <c r="P52" s="501"/>
      <c r="Q52" s="501"/>
      <c r="R52" s="498"/>
      <c r="S52" s="491"/>
      <c r="T52" s="491"/>
      <c r="U52" s="491"/>
      <c r="V52" s="491"/>
      <c r="W52" s="499"/>
      <c r="X52" s="499"/>
      <c r="Y52" s="501"/>
      <c r="Z52" s="37"/>
      <c r="AA52" s="501"/>
      <c r="AB52" s="501"/>
      <c r="AC52" s="499"/>
      <c r="AD52" s="499"/>
      <c r="AE52" s="491"/>
      <c r="AF52" s="491"/>
      <c r="AG52" s="491"/>
      <c r="AH52" s="16"/>
      <c r="AI52" s="16"/>
      <c r="AJ52" s="16"/>
      <c r="AK52" s="16"/>
      <c r="AL52" s="16"/>
      <c r="AM52" s="16"/>
      <c r="AN52" s="14"/>
      <c r="AO52" s="14"/>
      <c r="AP52" s="14"/>
      <c r="AQ52" s="14"/>
      <c r="AR52" s="14"/>
      <c r="AS52" s="14"/>
      <c r="AT52" s="14"/>
      <c r="AU52" s="14"/>
      <c r="AY52" s="79"/>
      <c r="AZ52" s="79"/>
    </row>
    <row r="53" spans="1:52" s="3" customFormat="1" ht="15.6" customHeight="1" x14ac:dyDescent="0.15">
      <c r="A53" s="49"/>
      <c r="B53" s="498"/>
      <c r="C53" s="498"/>
      <c r="D53" s="491"/>
      <c r="E53" s="491"/>
      <c r="F53" s="491"/>
      <c r="G53" s="491"/>
      <c r="H53" s="491"/>
      <c r="I53" s="491"/>
      <c r="J53" s="491"/>
      <c r="K53" s="491"/>
      <c r="L53" s="491"/>
      <c r="M53" s="491"/>
      <c r="N53" s="491"/>
      <c r="O53" s="491"/>
      <c r="P53" s="501"/>
      <c r="Q53" s="501"/>
      <c r="R53" s="498"/>
      <c r="S53" s="491"/>
      <c r="T53" s="491"/>
      <c r="U53" s="491"/>
      <c r="V53" s="491"/>
      <c r="W53" s="499"/>
      <c r="X53" s="499"/>
      <c r="Y53" s="501"/>
      <c r="Z53" s="37"/>
      <c r="AA53" s="501"/>
      <c r="AB53" s="501"/>
      <c r="AC53" s="499"/>
      <c r="AD53" s="499"/>
      <c r="AE53" s="491"/>
      <c r="AF53" s="491"/>
      <c r="AG53" s="491"/>
      <c r="AH53" s="16"/>
      <c r="AI53" s="16"/>
      <c r="AJ53" s="16"/>
      <c r="AK53" s="16"/>
      <c r="AL53" s="16"/>
      <c r="AM53" s="16"/>
      <c r="AN53" s="14"/>
      <c r="AO53" s="14"/>
      <c r="AP53" s="14"/>
      <c r="AQ53" s="14"/>
      <c r="AR53" s="14"/>
      <c r="AS53" s="14"/>
      <c r="AT53" s="14"/>
      <c r="AU53" s="14"/>
      <c r="AY53" s="79"/>
      <c r="AZ53" s="79"/>
    </row>
    <row r="54" spans="1:52" s="3" customFormat="1" ht="15.6" customHeight="1" x14ac:dyDescent="0.15">
      <c r="A54" s="49"/>
      <c r="B54" s="498"/>
      <c r="C54" s="498"/>
      <c r="D54" s="491"/>
      <c r="E54" s="491"/>
      <c r="F54" s="491"/>
      <c r="G54" s="491"/>
      <c r="H54" s="491"/>
      <c r="I54" s="491"/>
      <c r="J54" s="491"/>
      <c r="K54" s="491"/>
      <c r="L54" s="491"/>
      <c r="M54" s="491"/>
      <c r="N54" s="491"/>
      <c r="O54" s="491"/>
      <c r="P54" s="501"/>
      <c r="Q54" s="501"/>
      <c r="R54" s="498"/>
      <c r="S54" s="491"/>
      <c r="T54" s="491"/>
      <c r="U54" s="491"/>
      <c r="V54" s="491"/>
      <c r="W54" s="499"/>
      <c r="X54" s="499"/>
      <c r="Y54" s="501"/>
      <c r="Z54" s="37"/>
      <c r="AA54" s="501"/>
      <c r="AB54" s="501"/>
      <c r="AC54" s="499"/>
      <c r="AD54" s="499"/>
      <c r="AE54" s="491"/>
      <c r="AF54" s="491"/>
      <c r="AG54" s="491"/>
      <c r="AH54" s="16"/>
      <c r="AI54" s="16"/>
      <c r="AJ54" s="16"/>
      <c r="AK54" s="16"/>
      <c r="AL54" s="16"/>
      <c r="AM54" s="16"/>
      <c r="AN54" s="14"/>
      <c r="AO54" s="14"/>
      <c r="AP54" s="14"/>
      <c r="AQ54" s="14"/>
      <c r="AR54" s="14"/>
      <c r="AS54" s="14"/>
      <c r="AT54" s="14"/>
      <c r="AU54" s="14"/>
      <c r="AY54" s="79"/>
      <c r="AZ54" s="79"/>
    </row>
    <row r="55" spans="1:52" s="3" customFormat="1" ht="15.6" customHeight="1" x14ac:dyDescent="0.15">
      <c r="A55" s="50" t="s">
        <v>125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4"/>
      <c r="AO55" s="14"/>
      <c r="AP55" s="14"/>
      <c r="AQ55" s="14"/>
      <c r="AR55" s="14"/>
      <c r="AS55" s="14"/>
      <c r="AT55" s="14"/>
      <c r="AU55" s="14"/>
      <c r="AY55" s="79"/>
      <c r="AZ55" s="79"/>
    </row>
    <row r="56" spans="1:52" s="3" customFormat="1" ht="15.6" customHeight="1" x14ac:dyDescent="0.15">
      <c r="A56" s="54"/>
      <c r="B56" s="644" t="s">
        <v>25</v>
      </c>
      <c r="C56" s="645"/>
      <c r="D56" s="645"/>
      <c r="E56" s="646"/>
      <c r="F56" s="647" t="s">
        <v>26</v>
      </c>
      <c r="G56" s="647"/>
      <c r="H56" s="647"/>
      <c r="I56" s="647"/>
      <c r="J56" s="647" t="s">
        <v>83</v>
      </c>
      <c r="K56" s="647"/>
      <c r="L56" s="647"/>
      <c r="M56" s="647"/>
      <c r="N56" s="647" t="s">
        <v>27</v>
      </c>
      <c r="O56" s="647"/>
      <c r="P56" s="647"/>
      <c r="Q56" s="647"/>
      <c r="R56" s="647" t="s">
        <v>84</v>
      </c>
      <c r="S56" s="647"/>
      <c r="T56" s="647"/>
      <c r="U56" s="647"/>
      <c r="V56" s="647" t="s">
        <v>85</v>
      </c>
      <c r="W56" s="647"/>
      <c r="X56" s="647"/>
      <c r="Y56" s="647"/>
      <c r="Z56" s="647" t="s">
        <v>28</v>
      </c>
      <c r="AA56" s="647"/>
      <c r="AB56" s="647"/>
      <c r="AC56" s="647"/>
      <c r="AD56" s="644" t="s">
        <v>29</v>
      </c>
      <c r="AE56" s="645"/>
      <c r="AF56" s="645"/>
      <c r="AG56" s="646"/>
      <c r="AH56" s="16"/>
      <c r="AI56" s="16"/>
      <c r="AJ56" s="16"/>
      <c r="AK56" s="16"/>
      <c r="AL56" s="16"/>
      <c r="AM56" s="16"/>
      <c r="AN56" s="14"/>
      <c r="AO56" s="14"/>
      <c r="AP56" s="14"/>
      <c r="AQ56" s="14"/>
      <c r="AR56" s="14"/>
      <c r="AS56" s="14"/>
      <c r="AT56" s="14"/>
      <c r="AU56" s="14"/>
      <c r="AY56" s="79"/>
      <c r="AZ56" s="79"/>
    </row>
    <row r="57" spans="1:52" s="14" customFormat="1" ht="15.6" customHeight="1" x14ac:dyDescent="0.15">
      <c r="B57" s="655" t="s">
        <v>221</v>
      </c>
      <c r="C57" s="656"/>
      <c r="D57" s="656"/>
      <c r="E57" s="657"/>
      <c r="F57" s="650" t="s">
        <v>9</v>
      </c>
      <c r="G57" s="651"/>
      <c r="H57" s="651"/>
      <c r="I57" s="652"/>
      <c r="J57" s="638">
        <f>1273+3</f>
        <v>1276</v>
      </c>
      <c r="K57" s="639"/>
      <c r="L57" s="639"/>
      <c r="M57" s="640"/>
      <c r="N57" s="638">
        <v>109</v>
      </c>
      <c r="O57" s="639"/>
      <c r="P57" s="639"/>
      <c r="Q57" s="640"/>
      <c r="R57" s="638">
        <v>376</v>
      </c>
      <c r="S57" s="639"/>
      <c r="T57" s="639"/>
      <c r="U57" s="640"/>
      <c r="V57" s="638">
        <v>294</v>
      </c>
      <c r="W57" s="639"/>
      <c r="X57" s="639"/>
      <c r="Y57" s="640"/>
      <c r="Z57" s="638">
        <v>508</v>
      </c>
      <c r="AA57" s="639"/>
      <c r="AB57" s="639"/>
      <c r="AC57" s="640"/>
      <c r="AD57" s="638">
        <f>SUM(J57:AC57)</f>
        <v>2563</v>
      </c>
      <c r="AE57" s="639"/>
      <c r="AF57" s="639"/>
      <c r="AG57" s="640"/>
      <c r="AQ57" s="85"/>
      <c r="AR57" s="85"/>
      <c r="AY57" s="80"/>
      <c r="AZ57" s="80"/>
    </row>
    <row r="58" spans="1:52" s="14" customFormat="1" ht="15.6" customHeight="1" x14ac:dyDescent="0.15">
      <c r="B58" s="658"/>
      <c r="C58" s="659"/>
      <c r="D58" s="659"/>
      <c r="E58" s="660"/>
      <c r="F58" s="664" t="s">
        <v>30</v>
      </c>
      <c r="G58" s="665"/>
      <c r="H58" s="665"/>
      <c r="I58" s="666"/>
      <c r="J58" s="661">
        <v>0.497</v>
      </c>
      <c r="K58" s="662"/>
      <c r="L58" s="662"/>
      <c r="M58" s="663"/>
      <c r="N58" s="661">
        <f>N57/$AD$57</f>
        <v>4.2528287163480297E-2</v>
      </c>
      <c r="O58" s="662"/>
      <c r="P58" s="662"/>
      <c r="Q58" s="663"/>
      <c r="R58" s="661">
        <f>R57/$AD$57</f>
        <v>0.14670308232539991</v>
      </c>
      <c r="S58" s="662"/>
      <c r="T58" s="662"/>
      <c r="U58" s="663"/>
      <c r="V58" s="661">
        <f>V57/$AD$57</f>
        <v>0.1147093250097542</v>
      </c>
      <c r="W58" s="662"/>
      <c r="X58" s="662"/>
      <c r="Y58" s="663"/>
      <c r="Z58" s="661">
        <f>Z57/$AD$57</f>
        <v>0.19820522824814671</v>
      </c>
      <c r="AA58" s="662"/>
      <c r="AB58" s="662"/>
      <c r="AC58" s="663"/>
      <c r="AD58" s="661">
        <v>1</v>
      </c>
      <c r="AE58" s="662"/>
      <c r="AF58" s="662"/>
      <c r="AG58" s="663"/>
      <c r="AJ58" s="84"/>
      <c r="AQ58" s="653"/>
      <c r="AR58" s="654"/>
      <c r="AY58" s="80"/>
      <c r="AZ58" s="80"/>
    </row>
    <row r="59" spans="1:52" s="14" customFormat="1" ht="15.6" customHeight="1" x14ac:dyDescent="0.15">
      <c r="B59" s="655" t="s">
        <v>164</v>
      </c>
      <c r="C59" s="656"/>
      <c r="D59" s="656"/>
      <c r="E59" s="657"/>
      <c r="F59" s="650" t="s">
        <v>9</v>
      </c>
      <c r="G59" s="651"/>
      <c r="H59" s="651"/>
      <c r="I59" s="652"/>
      <c r="J59" s="638">
        <v>1255</v>
      </c>
      <c r="K59" s="639"/>
      <c r="L59" s="639"/>
      <c r="M59" s="640"/>
      <c r="N59" s="638">
        <v>128</v>
      </c>
      <c r="O59" s="639"/>
      <c r="P59" s="639"/>
      <c r="Q59" s="640"/>
      <c r="R59" s="638">
        <v>376</v>
      </c>
      <c r="S59" s="639"/>
      <c r="T59" s="639"/>
      <c r="U59" s="640"/>
      <c r="V59" s="638">
        <v>291</v>
      </c>
      <c r="W59" s="639"/>
      <c r="X59" s="639"/>
      <c r="Y59" s="640"/>
      <c r="Z59" s="638">
        <v>513</v>
      </c>
      <c r="AA59" s="639"/>
      <c r="AB59" s="639"/>
      <c r="AC59" s="640"/>
      <c r="AD59" s="638">
        <f>SUM(J59:AC59)</f>
        <v>2563</v>
      </c>
      <c r="AE59" s="639"/>
      <c r="AF59" s="639"/>
      <c r="AG59" s="640"/>
      <c r="AJ59" s="84"/>
      <c r="AQ59" s="654"/>
      <c r="AR59" s="654"/>
      <c r="AY59" s="80"/>
      <c r="AZ59" s="80"/>
    </row>
    <row r="60" spans="1:52" s="14" customFormat="1" ht="15.6" customHeight="1" x14ac:dyDescent="0.15">
      <c r="B60" s="658"/>
      <c r="C60" s="659"/>
      <c r="D60" s="659"/>
      <c r="E60" s="660"/>
      <c r="F60" s="664" t="s">
        <v>30</v>
      </c>
      <c r="G60" s="665"/>
      <c r="H60" s="665"/>
      <c r="I60" s="666"/>
      <c r="J60" s="661">
        <v>0.49</v>
      </c>
      <c r="K60" s="662"/>
      <c r="L60" s="662"/>
      <c r="M60" s="663"/>
      <c r="N60" s="661">
        <f>N59/AD59</f>
        <v>4.9941474834178698E-2</v>
      </c>
      <c r="O60" s="662"/>
      <c r="P60" s="662"/>
      <c r="Q60" s="663"/>
      <c r="R60" s="661">
        <f>R59/AD59</f>
        <v>0.14670308232539991</v>
      </c>
      <c r="S60" s="662"/>
      <c r="T60" s="662"/>
      <c r="U60" s="663"/>
      <c r="V60" s="661">
        <f>V59/AD59</f>
        <v>0.11353882169332813</v>
      </c>
      <c r="W60" s="662"/>
      <c r="X60" s="662"/>
      <c r="Y60" s="663"/>
      <c r="Z60" s="661">
        <v>0.19900000000000001</v>
      </c>
      <c r="AA60" s="662"/>
      <c r="AB60" s="662"/>
      <c r="AC60" s="663"/>
      <c r="AD60" s="661">
        <v>1</v>
      </c>
      <c r="AE60" s="662"/>
      <c r="AF60" s="662"/>
      <c r="AG60" s="663"/>
      <c r="AJ60" s="84"/>
      <c r="AQ60" s="654"/>
      <c r="AR60" s="654"/>
      <c r="AY60" s="80"/>
      <c r="AZ60" s="80"/>
    </row>
    <row r="61" spans="1:52" s="14" customFormat="1" ht="15.6" customHeight="1" x14ac:dyDescent="0.15">
      <c r="A61" s="16"/>
      <c r="B61" s="667" t="s">
        <v>31</v>
      </c>
      <c r="C61" s="668"/>
      <c r="D61" s="668"/>
      <c r="E61" s="669"/>
      <c r="F61" s="673" t="s">
        <v>9</v>
      </c>
      <c r="G61" s="673"/>
      <c r="H61" s="673"/>
      <c r="I61" s="673"/>
      <c r="J61" s="674">
        <f>J57-J59</f>
        <v>21</v>
      </c>
      <c r="K61" s="674"/>
      <c r="L61" s="674"/>
      <c r="M61" s="674"/>
      <c r="N61" s="674">
        <f>N57-N59</f>
        <v>-19</v>
      </c>
      <c r="O61" s="674"/>
      <c r="P61" s="674"/>
      <c r="Q61" s="674"/>
      <c r="R61" s="674">
        <f>R57-R59</f>
        <v>0</v>
      </c>
      <c r="S61" s="674"/>
      <c r="T61" s="674"/>
      <c r="U61" s="674"/>
      <c r="V61" s="674">
        <f>V57-V59</f>
        <v>3</v>
      </c>
      <c r="W61" s="674"/>
      <c r="X61" s="674"/>
      <c r="Y61" s="674"/>
      <c r="Z61" s="674">
        <f>Z57-Z59</f>
        <v>-5</v>
      </c>
      <c r="AA61" s="674"/>
      <c r="AB61" s="674"/>
      <c r="AC61" s="674"/>
      <c r="AD61" s="675">
        <f>SUM(J61:AC61)</f>
        <v>0</v>
      </c>
      <c r="AE61" s="676"/>
      <c r="AF61" s="676"/>
      <c r="AG61" s="677"/>
      <c r="AH61" s="16"/>
      <c r="AI61" s="16"/>
      <c r="AJ61" s="16"/>
      <c r="AK61" s="16"/>
      <c r="AL61" s="16"/>
      <c r="AM61" s="16"/>
      <c r="AQ61" s="654"/>
      <c r="AR61" s="654"/>
      <c r="AY61" s="80"/>
      <c r="AZ61" s="80"/>
    </row>
    <row r="62" spans="1:52" s="14" customFormat="1" ht="15.6" customHeight="1" x14ac:dyDescent="0.15">
      <c r="A62" s="16"/>
      <c r="B62" s="670"/>
      <c r="C62" s="671"/>
      <c r="D62" s="671"/>
      <c r="E62" s="672"/>
      <c r="F62" s="692" t="s">
        <v>32</v>
      </c>
      <c r="G62" s="692"/>
      <c r="H62" s="692"/>
      <c r="I62" s="692"/>
      <c r="J62" s="693">
        <f>J57/J59</f>
        <v>1.0167330677290836</v>
      </c>
      <c r="K62" s="693"/>
      <c r="L62" s="693"/>
      <c r="M62" s="693"/>
      <c r="N62" s="693">
        <f>N57/N59</f>
        <v>0.8515625</v>
      </c>
      <c r="O62" s="693"/>
      <c r="P62" s="693"/>
      <c r="Q62" s="693"/>
      <c r="R62" s="693">
        <f>R57/R59</f>
        <v>1</v>
      </c>
      <c r="S62" s="693"/>
      <c r="T62" s="693"/>
      <c r="U62" s="693"/>
      <c r="V62" s="693">
        <f>V57/V59</f>
        <v>1.0103092783505154</v>
      </c>
      <c r="W62" s="693"/>
      <c r="X62" s="693"/>
      <c r="Y62" s="693"/>
      <c r="Z62" s="693">
        <f>Z57/Z59</f>
        <v>0.99025341130604283</v>
      </c>
      <c r="AA62" s="693"/>
      <c r="AB62" s="693"/>
      <c r="AC62" s="693"/>
      <c r="AD62" s="694">
        <f>AD57/AD59</f>
        <v>1</v>
      </c>
      <c r="AE62" s="695"/>
      <c r="AF62" s="695"/>
      <c r="AG62" s="696"/>
      <c r="AH62" s="16"/>
      <c r="AI62" s="16"/>
      <c r="AJ62" s="16"/>
      <c r="AK62" s="16"/>
      <c r="AL62" s="16"/>
      <c r="AM62" s="16"/>
      <c r="AQ62" s="654"/>
      <c r="AR62" s="654"/>
      <c r="AY62" s="80"/>
      <c r="AZ62" s="80"/>
    </row>
    <row r="63" spans="1:52" s="3" customFormat="1" ht="15.6" customHeight="1" x14ac:dyDescent="0.15">
      <c r="A63" s="49"/>
      <c r="B63" s="498"/>
      <c r="C63" s="498"/>
      <c r="D63" s="491"/>
      <c r="E63" s="491"/>
      <c r="F63" s="491"/>
      <c r="G63" s="491"/>
      <c r="H63" s="487"/>
      <c r="I63" s="501"/>
      <c r="J63" s="501"/>
      <c r="K63" s="501"/>
      <c r="L63" s="501"/>
      <c r="M63" s="498"/>
      <c r="N63" s="501"/>
      <c r="O63" s="501"/>
      <c r="P63" s="501"/>
      <c r="Q63" s="501"/>
      <c r="R63" s="498"/>
      <c r="S63" s="491"/>
      <c r="T63" s="491"/>
      <c r="U63" s="491"/>
      <c r="V63" s="491"/>
      <c r="W63" s="499"/>
      <c r="X63" s="499"/>
      <c r="Y63" s="501"/>
      <c r="Z63" s="37"/>
      <c r="AA63" s="501"/>
      <c r="AB63" s="501"/>
      <c r="AC63" s="499"/>
      <c r="AD63" s="499"/>
      <c r="AE63" s="491"/>
      <c r="AF63" s="491"/>
      <c r="AG63" s="491"/>
      <c r="AH63" s="16"/>
      <c r="AI63" s="16"/>
      <c r="AJ63" s="16"/>
      <c r="AK63" s="16"/>
      <c r="AL63" s="16"/>
      <c r="AM63" s="16"/>
      <c r="AN63" s="14"/>
      <c r="AO63" s="14"/>
      <c r="AP63" s="14"/>
      <c r="AQ63" s="654"/>
      <c r="AR63" s="654"/>
      <c r="AS63" s="14"/>
      <c r="AT63" s="14"/>
      <c r="AU63" s="14"/>
      <c r="AY63" s="79"/>
      <c r="AZ63" s="79"/>
    </row>
    <row r="64" spans="1:52" s="3" customFormat="1" ht="15.6" customHeight="1" x14ac:dyDescent="0.15">
      <c r="A64" s="56" t="s">
        <v>110</v>
      </c>
      <c r="B64" s="332"/>
      <c r="C64" s="332"/>
      <c r="D64" s="332"/>
      <c r="E64" s="332"/>
      <c r="F64" s="332"/>
      <c r="G64" s="333" t="s">
        <v>151</v>
      </c>
      <c r="H64" s="334"/>
      <c r="I64" s="334"/>
      <c r="J64" s="334"/>
      <c r="K64" s="334"/>
      <c r="L64" s="334"/>
      <c r="M64" s="334"/>
      <c r="N64" s="334"/>
      <c r="O64" s="36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484" t="s">
        <v>40</v>
      </c>
      <c r="AH64" s="16"/>
      <c r="AI64" s="16"/>
      <c r="AJ64" s="16"/>
      <c r="AK64" s="16"/>
      <c r="AL64" s="16"/>
      <c r="AM64" s="16"/>
      <c r="AN64" s="16"/>
      <c r="AO64" s="16"/>
      <c r="AP64" s="16"/>
      <c r="AQ64" s="654"/>
      <c r="AR64" s="654"/>
      <c r="AS64" s="16"/>
      <c r="AT64" s="16"/>
      <c r="AU64" s="16"/>
      <c r="AY64" s="79"/>
      <c r="AZ64" s="79"/>
    </row>
    <row r="65" spans="1:52" s="3" customFormat="1" ht="15.6" customHeight="1" x14ac:dyDescent="0.15">
      <c r="A65" s="49"/>
      <c r="B65" s="678" t="s">
        <v>25</v>
      </c>
      <c r="C65" s="679"/>
      <c r="D65" s="680"/>
      <c r="E65" s="684" t="s">
        <v>41</v>
      </c>
      <c r="F65" s="685"/>
      <c r="G65" s="686"/>
      <c r="H65" s="684" t="s">
        <v>42</v>
      </c>
      <c r="I65" s="685"/>
      <c r="J65" s="686"/>
      <c r="K65" s="684" t="s">
        <v>43</v>
      </c>
      <c r="L65" s="685"/>
      <c r="M65" s="690" t="s">
        <v>44</v>
      </c>
      <c r="N65" s="690"/>
      <c r="O65" s="690" t="s">
        <v>45</v>
      </c>
      <c r="P65" s="690"/>
      <c r="Q65" s="690"/>
      <c r="R65" s="684" t="s">
        <v>46</v>
      </c>
      <c r="S65" s="686"/>
      <c r="T65" s="684" t="s">
        <v>47</v>
      </c>
      <c r="U65" s="686"/>
      <c r="V65" s="690" t="s">
        <v>48</v>
      </c>
      <c r="W65" s="690"/>
      <c r="X65" s="690" t="s">
        <v>112</v>
      </c>
      <c r="Y65" s="690"/>
      <c r="Z65" s="684" t="s">
        <v>113</v>
      </c>
      <c r="AA65" s="685"/>
      <c r="AB65" s="686"/>
      <c r="AC65" s="697" t="s">
        <v>128</v>
      </c>
      <c r="AD65" s="698"/>
      <c r="AE65" s="684" t="s">
        <v>82</v>
      </c>
      <c r="AF65" s="685"/>
      <c r="AG65" s="686"/>
      <c r="AH65" s="16"/>
      <c r="AI65" s="16"/>
      <c r="AJ65" s="16"/>
      <c r="AK65" s="16"/>
      <c r="AL65" s="16"/>
      <c r="AM65" s="16"/>
      <c r="AN65" s="16"/>
      <c r="AO65" s="16"/>
      <c r="AP65" s="16"/>
      <c r="AQ65" s="654"/>
      <c r="AR65" s="654"/>
      <c r="AS65" s="16"/>
      <c r="AT65" s="16"/>
      <c r="AU65" s="16"/>
      <c r="AY65" s="79"/>
      <c r="AZ65" s="79"/>
    </row>
    <row r="66" spans="1:52" s="3" customFormat="1" ht="15.6" customHeight="1" x14ac:dyDescent="0.15">
      <c r="A66" s="49"/>
      <c r="B66" s="681"/>
      <c r="C66" s="682"/>
      <c r="D66" s="683"/>
      <c r="E66" s="687"/>
      <c r="F66" s="688"/>
      <c r="G66" s="689"/>
      <c r="H66" s="687"/>
      <c r="I66" s="688"/>
      <c r="J66" s="689"/>
      <c r="K66" s="687"/>
      <c r="L66" s="688"/>
      <c r="M66" s="691"/>
      <c r="N66" s="691"/>
      <c r="O66" s="691"/>
      <c r="P66" s="691"/>
      <c r="Q66" s="691"/>
      <c r="R66" s="687"/>
      <c r="S66" s="689"/>
      <c r="T66" s="687"/>
      <c r="U66" s="689"/>
      <c r="V66" s="691"/>
      <c r="W66" s="691"/>
      <c r="X66" s="691"/>
      <c r="Y66" s="691"/>
      <c r="Z66" s="687"/>
      <c r="AA66" s="688"/>
      <c r="AB66" s="689"/>
      <c r="AC66" s="699"/>
      <c r="AD66" s="700"/>
      <c r="AE66" s="687"/>
      <c r="AF66" s="688"/>
      <c r="AG66" s="689"/>
      <c r="AH66" s="16"/>
      <c r="AI66" s="16"/>
      <c r="AJ66" s="16"/>
      <c r="AK66" s="16"/>
      <c r="AL66" s="16"/>
      <c r="AM66" s="16"/>
      <c r="AN66" s="16"/>
      <c r="AO66" s="16"/>
      <c r="AP66" s="16"/>
      <c r="AQ66" s="654"/>
      <c r="AR66" s="654"/>
      <c r="AS66" s="16"/>
      <c r="AT66" s="16"/>
      <c r="AU66" s="16"/>
      <c r="AY66" s="79"/>
      <c r="AZ66" s="79"/>
    </row>
    <row r="67" spans="1:52" s="14" customFormat="1" ht="15.6" customHeight="1" x14ac:dyDescent="0.15">
      <c r="A67" s="502"/>
      <c r="B67" s="701" t="s">
        <v>86</v>
      </c>
      <c r="C67" s="702"/>
      <c r="D67" s="703"/>
      <c r="E67" s="667">
        <v>2212</v>
      </c>
      <c r="F67" s="668"/>
      <c r="G67" s="669"/>
      <c r="H67" s="667">
        <v>2327</v>
      </c>
      <c r="I67" s="668"/>
      <c r="J67" s="669"/>
      <c r="K67" s="667">
        <v>111</v>
      </c>
      <c r="L67" s="668"/>
      <c r="M67" s="673">
        <v>607</v>
      </c>
      <c r="N67" s="673"/>
      <c r="O67" s="673">
        <v>2145</v>
      </c>
      <c r="P67" s="673"/>
      <c r="Q67" s="673"/>
      <c r="R67" s="667">
        <v>1</v>
      </c>
      <c r="S67" s="669"/>
      <c r="T67" s="667">
        <v>60</v>
      </c>
      <c r="U67" s="669"/>
      <c r="V67" s="673">
        <v>15</v>
      </c>
      <c r="W67" s="673"/>
      <c r="X67" s="715">
        <v>10</v>
      </c>
      <c r="Y67" s="715"/>
      <c r="Z67" s="717">
        <v>0</v>
      </c>
      <c r="AA67" s="718"/>
      <c r="AB67" s="719"/>
      <c r="AC67" s="717">
        <v>1</v>
      </c>
      <c r="AD67" s="719"/>
      <c r="AE67" s="667">
        <f>SUM(E67:AD68)</f>
        <v>7489</v>
      </c>
      <c r="AF67" s="668"/>
      <c r="AG67" s="669"/>
      <c r="AH67" s="541"/>
      <c r="AI67" s="541"/>
      <c r="AJ67" s="541"/>
      <c r="AK67" s="541"/>
      <c r="AL67" s="541"/>
      <c r="AM67" s="541"/>
      <c r="AN67" s="541"/>
      <c r="AO67" s="541"/>
      <c r="AP67" s="541"/>
      <c r="AQ67" s="654"/>
      <c r="AR67" s="654"/>
      <c r="AS67" s="541"/>
      <c r="AT67" s="541"/>
      <c r="AU67" s="541"/>
      <c r="AY67" s="80"/>
      <c r="AZ67" s="80"/>
    </row>
    <row r="68" spans="1:52" s="14" customFormat="1" ht="15.6" customHeight="1" x14ac:dyDescent="0.15">
      <c r="A68" s="502"/>
      <c r="B68" s="711"/>
      <c r="C68" s="712"/>
      <c r="D68" s="713"/>
      <c r="E68" s="670"/>
      <c r="F68" s="671"/>
      <c r="G68" s="672"/>
      <c r="H68" s="670"/>
      <c r="I68" s="671"/>
      <c r="J68" s="672"/>
      <c r="K68" s="670"/>
      <c r="L68" s="671"/>
      <c r="M68" s="714"/>
      <c r="N68" s="714"/>
      <c r="O68" s="714"/>
      <c r="P68" s="714"/>
      <c r="Q68" s="714"/>
      <c r="R68" s="670"/>
      <c r="S68" s="672"/>
      <c r="T68" s="670"/>
      <c r="U68" s="672"/>
      <c r="V68" s="714"/>
      <c r="W68" s="714"/>
      <c r="X68" s="726"/>
      <c r="Y68" s="726"/>
      <c r="Z68" s="727"/>
      <c r="AA68" s="728"/>
      <c r="AB68" s="729"/>
      <c r="AC68" s="727"/>
      <c r="AD68" s="729"/>
      <c r="AE68" s="670"/>
      <c r="AF68" s="671"/>
      <c r="AG68" s="672"/>
      <c r="AH68" s="541"/>
      <c r="AI68" s="541"/>
      <c r="AJ68" s="541"/>
      <c r="AK68" s="541"/>
      <c r="AL68" s="541"/>
      <c r="AM68" s="541"/>
      <c r="AN68" s="541"/>
      <c r="AO68" s="541"/>
      <c r="AP68" s="541"/>
      <c r="AQ68" s="654"/>
      <c r="AR68" s="654"/>
      <c r="AS68" s="541"/>
      <c r="AT68" s="541"/>
      <c r="AU68" s="541"/>
      <c r="AY68" s="80"/>
      <c r="AZ68" s="80"/>
    </row>
    <row r="69" spans="1:52" s="14" customFormat="1" ht="15.6" customHeight="1" x14ac:dyDescent="0.15">
      <c r="A69" s="502"/>
      <c r="B69" s="701" t="s">
        <v>87</v>
      </c>
      <c r="C69" s="702"/>
      <c r="D69" s="703"/>
      <c r="E69" s="667">
        <v>2817</v>
      </c>
      <c r="F69" s="668"/>
      <c r="G69" s="669"/>
      <c r="H69" s="667">
        <v>2930</v>
      </c>
      <c r="I69" s="668"/>
      <c r="J69" s="669"/>
      <c r="K69" s="667">
        <v>160</v>
      </c>
      <c r="L69" s="668"/>
      <c r="M69" s="673">
        <v>629</v>
      </c>
      <c r="N69" s="673"/>
      <c r="O69" s="673">
        <v>2610</v>
      </c>
      <c r="P69" s="673"/>
      <c r="Q69" s="673"/>
      <c r="R69" s="667">
        <v>1</v>
      </c>
      <c r="S69" s="669"/>
      <c r="T69" s="667">
        <v>69</v>
      </c>
      <c r="U69" s="669"/>
      <c r="V69" s="673">
        <v>15</v>
      </c>
      <c r="W69" s="673"/>
      <c r="X69" s="715">
        <v>10</v>
      </c>
      <c r="Y69" s="715"/>
      <c r="Z69" s="717">
        <v>0</v>
      </c>
      <c r="AA69" s="718"/>
      <c r="AB69" s="719"/>
      <c r="AC69" s="717">
        <v>1</v>
      </c>
      <c r="AD69" s="719"/>
      <c r="AE69" s="723">
        <f>SUM(E69:AC70)</f>
        <v>9242</v>
      </c>
      <c r="AF69" s="724"/>
      <c r="AG69" s="725"/>
      <c r="AH69" s="541"/>
      <c r="AI69" s="541"/>
      <c r="AJ69" s="541"/>
      <c r="AK69" s="541"/>
      <c r="AL69" s="541"/>
      <c r="AM69" s="541"/>
      <c r="AN69" s="541"/>
      <c r="AO69" s="541"/>
      <c r="AP69" s="541"/>
      <c r="AQ69" s="86"/>
      <c r="AR69" s="86"/>
      <c r="AS69" s="541"/>
      <c r="AT69" s="541"/>
      <c r="AU69" s="541"/>
      <c r="AY69" s="80"/>
      <c r="AZ69" s="80"/>
    </row>
    <row r="70" spans="1:52" s="14" customFormat="1" ht="15.6" customHeight="1" thickBot="1" x14ac:dyDescent="0.2">
      <c r="A70" s="16"/>
      <c r="B70" s="704"/>
      <c r="C70" s="705"/>
      <c r="D70" s="706"/>
      <c r="E70" s="707"/>
      <c r="F70" s="708"/>
      <c r="G70" s="709"/>
      <c r="H70" s="707"/>
      <c r="I70" s="708"/>
      <c r="J70" s="709"/>
      <c r="K70" s="707"/>
      <c r="L70" s="708"/>
      <c r="M70" s="710"/>
      <c r="N70" s="710"/>
      <c r="O70" s="710"/>
      <c r="P70" s="710"/>
      <c r="Q70" s="710"/>
      <c r="R70" s="707"/>
      <c r="S70" s="709"/>
      <c r="T70" s="707"/>
      <c r="U70" s="709"/>
      <c r="V70" s="710"/>
      <c r="W70" s="710"/>
      <c r="X70" s="716"/>
      <c r="Y70" s="716"/>
      <c r="Z70" s="720"/>
      <c r="AA70" s="721"/>
      <c r="AB70" s="722"/>
      <c r="AC70" s="720"/>
      <c r="AD70" s="722"/>
      <c r="AE70" s="707"/>
      <c r="AF70" s="708"/>
      <c r="AG70" s="709"/>
      <c r="AH70" s="16"/>
      <c r="AI70" s="16"/>
      <c r="AJ70" s="16"/>
      <c r="AK70" s="16"/>
      <c r="AL70" s="16"/>
      <c r="AM70" s="16"/>
      <c r="AN70" s="16"/>
      <c r="AO70" s="16"/>
      <c r="AP70" s="16"/>
      <c r="AQ70" s="87"/>
      <c r="AR70" s="87"/>
      <c r="AS70" s="16"/>
      <c r="AT70" s="16"/>
      <c r="AU70" s="16"/>
      <c r="AY70" s="80"/>
      <c r="AZ70" s="80"/>
    </row>
    <row r="71" spans="1:52" s="14" customFormat="1" ht="15.6" customHeight="1" thickTop="1" x14ac:dyDescent="0.15">
      <c r="A71" s="16"/>
      <c r="B71" s="874" t="s">
        <v>204</v>
      </c>
      <c r="C71" s="875"/>
      <c r="D71" s="876"/>
      <c r="E71" s="847">
        <v>1815194</v>
      </c>
      <c r="F71" s="848"/>
      <c r="G71" s="849"/>
      <c r="H71" s="847">
        <v>1042131</v>
      </c>
      <c r="I71" s="848"/>
      <c r="J71" s="849"/>
      <c r="K71" s="847">
        <v>17140</v>
      </c>
      <c r="L71" s="848"/>
      <c r="M71" s="855">
        <v>207464</v>
      </c>
      <c r="N71" s="855"/>
      <c r="O71" s="855">
        <v>2887036</v>
      </c>
      <c r="P71" s="855"/>
      <c r="Q71" s="855"/>
      <c r="R71" s="847">
        <v>1155</v>
      </c>
      <c r="S71" s="849"/>
      <c r="T71" s="847">
        <v>11167</v>
      </c>
      <c r="U71" s="849"/>
      <c r="V71" s="855">
        <v>20551</v>
      </c>
      <c r="W71" s="855"/>
      <c r="X71" s="855">
        <v>24936</v>
      </c>
      <c r="Y71" s="855"/>
      <c r="Z71" s="847">
        <v>784</v>
      </c>
      <c r="AA71" s="848"/>
      <c r="AB71" s="849"/>
      <c r="AC71" s="870">
        <v>800</v>
      </c>
      <c r="AD71" s="871"/>
      <c r="AE71" s="847">
        <f>SUM(E71:AD72)</f>
        <v>6028358</v>
      </c>
      <c r="AF71" s="848"/>
      <c r="AG71" s="849"/>
      <c r="AH71" s="16"/>
      <c r="AI71" s="537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Y71" s="80"/>
      <c r="AZ71" s="80"/>
    </row>
    <row r="72" spans="1:52" s="14" customFormat="1" ht="15.6" customHeight="1" x14ac:dyDescent="0.15">
      <c r="A72" s="16"/>
      <c r="B72" s="877"/>
      <c r="C72" s="878"/>
      <c r="D72" s="879"/>
      <c r="E72" s="850"/>
      <c r="F72" s="851"/>
      <c r="G72" s="852"/>
      <c r="H72" s="850"/>
      <c r="I72" s="851"/>
      <c r="J72" s="852"/>
      <c r="K72" s="853"/>
      <c r="L72" s="854"/>
      <c r="M72" s="856"/>
      <c r="N72" s="856"/>
      <c r="O72" s="856"/>
      <c r="P72" s="856"/>
      <c r="Q72" s="856"/>
      <c r="R72" s="850"/>
      <c r="S72" s="852"/>
      <c r="T72" s="850"/>
      <c r="U72" s="852"/>
      <c r="V72" s="856"/>
      <c r="W72" s="856"/>
      <c r="X72" s="856"/>
      <c r="Y72" s="856"/>
      <c r="Z72" s="853"/>
      <c r="AA72" s="854"/>
      <c r="AB72" s="864"/>
      <c r="AC72" s="872"/>
      <c r="AD72" s="873"/>
      <c r="AE72" s="853"/>
      <c r="AF72" s="854"/>
      <c r="AG72" s="864"/>
      <c r="AH72" s="16"/>
      <c r="AI72" s="537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Y72" s="80"/>
      <c r="AZ72" s="80"/>
    </row>
    <row r="73" spans="1:52" s="14" customFormat="1" ht="15.6" customHeight="1" x14ac:dyDescent="0.15">
      <c r="A73" s="16"/>
      <c r="B73" s="865" t="s">
        <v>30</v>
      </c>
      <c r="C73" s="866"/>
      <c r="D73" s="867"/>
      <c r="E73" s="858">
        <v>0.30120000000000002</v>
      </c>
      <c r="F73" s="859"/>
      <c r="G73" s="860"/>
      <c r="H73" s="858">
        <f>H71/AE71</f>
        <v>0.17287145189452915</v>
      </c>
      <c r="I73" s="859"/>
      <c r="J73" s="860"/>
      <c r="K73" s="858">
        <f>K71/AE71</f>
        <v>2.8432286204634828E-3</v>
      </c>
      <c r="L73" s="860"/>
      <c r="M73" s="858">
        <f>M71/AE71</f>
        <v>3.4414678093105951E-2</v>
      </c>
      <c r="N73" s="859"/>
      <c r="O73" s="858">
        <f>O71/AE71</f>
        <v>0.47890918223502982</v>
      </c>
      <c r="P73" s="859"/>
      <c r="Q73" s="860"/>
      <c r="R73" s="868">
        <f>R71/AE71</f>
        <v>1.9159446071384612E-4</v>
      </c>
      <c r="S73" s="869"/>
      <c r="T73" s="868">
        <f>T71/AE71</f>
        <v>1.8524115522004499E-3</v>
      </c>
      <c r="U73" s="869"/>
      <c r="V73" s="857">
        <f>V71/AE71</f>
        <v>3.4090543395067113E-3</v>
      </c>
      <c r="W73" s="857"/>
      <c r="X73" s="857">
        <f>X71/AE71</f>
        <v>4.1364497596194519E-3</v>
      </c>
      <c r="Y73" s="857"/>
      <c r="Z73" s="858">
        <f>Z71/AE71</f>
        <v>1.300519975754592E-4</v>
      </c>
      <c r="AA73" s="859"/>
      <c r="AB73" s="860"/>
      <c r="AC73" s="858">
        <f>AC71/AE71</f>
        <v>1.3270611997495837E-4</v>
      </c>
      <c r="AD73" s="860"/>
      <c r="AE73" s="861">
        <v>1</v>
      </c>
      <c r="AF73" s="862"/>
      <c r="AG73" s="863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Y73" s="80"/>
      <c r="AZ73" s="80"/>
    </row>
    <row r="74" spans="1:52" s="3" customFormat="1" ht="15.6" customHeight="1" x14ac:dyDescent="0.15">
      <c r="A74" s="49"/>
      <c r="B74" s="501"/>
      <c r="C74" s="498"/>
      <c r="D74" s="498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70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Y74" s="79"/>
      <c r="AZ74" s="79"/>
    </row>
    <row r="75" spans="1:52" s="3" customFormat="1" ht="15.6" customHeight="1" x14ac:dyDescent="0.15">
      <c r="A75" s="50" t="s">
        <v>71</v>
      </c>
      <c r="B75" s="49"/>
      <c r="C75" s="49"/>
      <c r="D75" s="49"/>
      <c r="E75" s="49"/>
      <c r="F75" s="49"/>
      <c r="G75" s="49"/>
      <c r="H75" s="49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494" t="s">
        <v>33</v>
      </c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Y75" s="79"/>
      <c r="AZ75" s="79"/>
    </row>
    <row r="76" spans="1:52" s="3" customFormat="1" ht="15.6" customHeight="1" x14ac:dyDescent="0.15">
      <c r="A76" s="49"/>
      <c r="B76" s="730" t="s">
        <v>34</v>
      </c>
      <c r="C76" s="730"/>
      <c r="D76" s="730"/>
      <c r="E76" s="730"/>
      <c r="F76" s="730"/>
      <c r="G76" s="730"/>
      <c r="H76" s="730" t="s">
        <v>35</v>
      </c>
      <c r="I76" s="730"/>
      <c r="J76" s="730"/>
      <c r="K76" s="730"/>
      <c r="L76" s="730"/>
      <c r="M76" s="730"/>
      <c r="N76" s="730"/>
      <c r="O76" s="730"/>
      <c r="P76" s="730"/>
      <c r="Q76" s="730"/>
      <c r="R76" s="730"/>
      <c r="S76" s="730"/>
      <c r="T76" s="730"/>
      <c r="U76" s="730"/>
      <c r="V76" s="730"/>
      <c r="W76" s="730"/>
      <c r="X76" s="730"/>
      <c r="Y76" s="730"/>
      <c r="Z76" s="549" t="s">
        <v>36</v>
      </c>
      <c r="AA76" s="550"/>
      <c r="AB76" s="550"/>
      <c r="AC76" s="550"/>
      <c r="AD76" s="550"/>
      <c r="AE76" s="550"/>
      <c r="AF76" s="550"/>
      <c r="AG76" s="551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Y76" s="79"/>
      <c r="AZ76" s="79"/>
    </row>
    <row r="77" spans="1:52" s="3" customFormat="1" ht="15.6" customHeight="1" x14ac:dyDescent="0.15">
      <c r="A77" s="49"/>
      <c r="B77" s="730"/>
      <c r="C77" s="730"/>
      <c r="D77" s="730"/>
      <c r="E77" s="730"/>
      <c r="F77" s="730"/>
      <c r="G77" s="730"/>
      <c r="H77" s="730" t="s">
        <v>37</v>
      </c>
      <c r="I77" s="730"/>
      <c r="J77" s="730"/>
      <c r="K77" s="730"/>
      <c r="L77" s="730"/>
      <c r="M77" s="730"/>
      <c r="N77" s="730" t="s">
        <v>38</v>
      </c>
      <c r="O77" s="730"/>
      <c r="P77" s="730"/>
      <c r="Q77" s="730"/>
      <c r="R77" s="730"/>
      <c r="S77" s="730"/>
      <c r="T77" s="730" t="s">
        <v>39</v>
      </c>
      <c r="U77" s="730"/>
      <c r="V77" s="730"/>
      <c r="W77" s="730"/>
      <c r="X77" s="730"/>
      <c r="Y77" s="730"/>
      <c r="Z77" s="552"/>
      <c r="AA77" s="553"/>
      <c r="AB77" s="553"/>
      <c r="AC77" s="553"/>
      <c r="AD77" s="553"/>
      <c r="AE77" s="553"/>
      <c r="AF77" s="553"/>
      <c r="AG77" s="554"/>
      <c r="AH77" s="16"/>
      <c r="AI77" s="16"/>
      <c r="AJ77" s="16"/>
      <c r="AK77" s="16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Y77" s="79"/>
      <c r="AZ77" s="79"/>
    </row>
    <row r="78" spans="1:52" s="3" customFormat="1" ht="15.6" customHeight="1" x14ac:dyDescent="0.15">
      <c r="A78" s="49"/>
      <c r="B78" s="731" t="s">
        <v>137</v>
      </c>
      <c r="C78" s="732"/>
      <c r="D78" s="732"/>
      <c r="E78" s="732"/>
      <c r="F78" s="732"/>
      <c r="G78" s="733"/>
      <c r="H78" s="734">
        <v>5300000</v>
      </c>
      <c r="I78" s="735"/>
      <c r="J78" s="735"/>
      <c r="K78" s="735"/>
      <c r="L78" s="735"/>
      <c r="M78" s="736"/>
      <c r="N78" s="737">
        <v>346000</v>
      </c>
      <c r="O78" s="738"/>
      <c r="P78" s="738"/>
      <c r="Q78" s="738"/>
      <c r="R78" s="738"/>
      <c r="S78" s="739"/>
      <c r="T78" s="734">
        <f t="shared" ref="T78:T80" si="1">SUM(H78:S78)</f>
        <v>5646000</v>
      </c>
      <c r="U78" s="735"/>
      <c r="V78" s="735"/>
      <c r="W78" s="735"/>
      <c r="X78" s="735"/>
      <c r="Y78" s="736"/>
      <c r="Z78" s="740">
        <v>5636644</v>
      </c>
      <c r="AA78" s="741"/>
      <c r="AB78" s="741"/>
      <c r="AC78" s="741"/>
      <c r="AD78" s="741"/>
      <c r="AE78" s="741"/>
      <c r="AF78" s="741"/>
      <c r="AG78" s="742"/>
      <c r="AH78" s="16"/>
      <c r="AI78" s="16"/>
      <c r="AJ78" s="16"/>
      <c r="AK78" s="16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Y78" s="79"/>
      <c r="AZ78" s="79"/>
    </row>
    <row r="79" spans="1:52" s="3" customFormat="1" ht="15.6" customHeight="1" x14ac:dyDescent="0.15">
      <c r="A79" s="49"/>
      <c r="B79" s="731" t="s">
        <v>138</v>
      </c>
      <c r="C79" s="732"/>
      <c r="D79" s="732"/>
      <c r="E79" s="732"/>
      <c r="F79" s="732"/>
      <c r="G79" s="733"/>
      <c r="H79" s="734">
        <v>5310000</v>
      </c>
      <c r="I79" s="735"/>
      <c r="J79" s="735"/>
      <c r="K79" s="735"/>
      <c r="L79" s="735"/>
      <c r="M79" s="736"/>
      <c r="N79" s="743">
        <v>197000</v>
      </c>
      <c r="O79" s="744"/>
      <c r="P79" s="744"/>
      <c r="Q79" s="744"/>
      <c r="R79" s="744"/>
      <c r="S79" s="745"/>
      <c r="T79" s="734">
        <f t="shared" si="1"/>
        <v>5507000</v>
      </c>
      <c r="U79" s="735"/>
      <c r="V79" s="735"/>
      <c r="W79" s="735"/>
      <c r="X79" s="735"/>
      <c r="Y79" s="736"/>
      <c r="Z79" s="734">
        <v>5500325</v>
      </c>
      <c r="AA79" s="735"/>
      <c r="AB79" s="735"/>
      <c r="AC79" s="735"/>
      <c r="AD79" s="735"/>
      <c r="AE79" s="735"/>
      <c r="AF79" s="735"/>
      <c r="AG79" s="736"/>
      <c r="AH79" s="16"/>
      <c r="AI79" s="16"/>
      <c r="AJ79" s="16"/>
      <c r="AK79" s="16"/>
      <c r="AL79" s="16"/>
      <c r="AM79" s="16"/>
      <c r="AN79" s="16"/>
      <c r="AO79" s="16"/>
      <c r="AP79" s="14"/>
      <c r="AQ79" s="14"/>
      <c r="AR79" s="14"/>
      <c r="AS79" s="14"/>
      <c r="AT79" s="14"/>
      <c r="AU79" s="14"/>
      <c r="AY79" s="79"/>
      <c r="AZ79" s="79"/>
    </row>
    <row r="80" spans="1:52" s="3" customFormat="1" ht="15.6" customHeight="1" x14ac:dyDescent="0.15">
      <c r="A80" s="49"/>
      <c r="B80" s="746" t="s">
        <v>132</v>
      </c>
      <c r="C80" s="746"/>
      <c r="D80" s="746"/>
      <c r="E80" s="746"/>
      <c r="F80" s="746"/>
      <c r="G80" s="746"/>
      <c r="H80" s="747">
        <v>5510000</v>
      </c>
      <c r="I80" s="748"/>
      <c r="J80" s="748"/>
      <c r="K80" s="748"/>
      <c r="L80" s="748"/>
      <c r="M80" s="749"/>
      <c r="N80" s="743">
        <v>388000</v>
      </c>
      <c r="O80" s="744"/>
      <c r="P80" s="744"/>
      <c r="Q80" s="744"/>
      <c r="R80" s="744"/>
      <c r="S80" s="745"/>
      <c r="T80" s="747">
        <f t="shared" si="1"/>
        <v>5898000</v>
      </c>
      <c r="U80" s="748"/>
      <c r="V80" s="748"/>
      <c r="W80" s="748"/>
      <c r="X80" s="748"/>
      <c r="Y80" s="749"/>
      <c r="Z80" s="747">
        <v>5894929</v>
      </c>
      <c r="AA80" s="748"/>
      <c r="AB80" s="748"/>
      <c r="AC80" s="748"/>
      <c r="AD80" s="748"/>
      <c r="AE80" s="748"/>
      <c r="AF80" s="748"/>
      <c r="AG80" s="749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Y80" s="79"/>
      <c r="AZ80" s="79"/>
    </row>
    <row r="81" spans="1:54" s="14" customFormat="1" ht="15.6" customHeight="1" x14ac:dyDescent="0.15">
      <c r="A81" s="16"/>
      <c r="B81" s="746" t="s">
        <v>145</v>
      </c>
      <c r="C81" s="746"/>
      <c r="D81" s="746"/>
      <c r="E81" s="746"/>
      <c r="F81" s="746"/>
      <c r="G81" s="746"/>
      <c r="H81" s="747">
        <v>5596000</v>
      </c>
      <c r="I81" s="748"/>
      <c r="J81" s="748"/>
      <c r="K81" s="748"/>
      <c r="L81" s="748"/>
      <c r="M81" s="749"/>
      <c r="N81" s="743">
        <v>448000</v>
      </c>
      <c r="O81" s="744"/>
      <c r="P81" s="744"/>
      <c r="Q81" s="744"/>
      <c r="R81" s="744"/>
      <c r="S81" s="745"/>
      <c r="T81" s="747">
        <f>SUM(H81:S81)</f>
        <v>6044000</v>
      </c>
      <c r="U81" s="748"/>
      <c r="V81" s="748"/>
      <c r="W81" s="748"/>
      <c r="X81" s="748"/>
      <c r="Y81" s="749"/>
      <c r="Z81" s="747">
        <v>6030198</v>
      </c>
      <c r="AA81" s="748"/>
      <c r="AB81" s="748"/>
      <c r="AC81" s="748"/>
      <c r="AD81" s="748"/>
      <c r="AE81" s="748"/>
      <c r="AF81" s="748"/>
      <c r="AG81" s="749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Y81" s="80"/>
      <c r="AZ81" s="80"/>
    </row>
    <row r="82" spans="1:54" s="14" customFormat="1" ht="15.6" customHeight="1" x14ac:dyDescent="0.15">
      <c r="A82" s="16"/>
      <c r="B82" s="746" t="s">
        <v>177</v>
      </c>
      <c r="C82" s="746"/>
      <c r="D82" s="746"/>
      <c r="E82" s="746"/>
      <c r="F82" s="746"/>
      <c r="G82" s="746"/>
      <c r="H82" s="747">
        <v>5894929</v>
      </c>
      <c r="I82" s="748"/>
      <c r="J82" s="748"/>
      <c r="K82" s="748"/>
      <c r="L82" s="748"/>
      <c r="M82" s="749"/>
      <c r="N82" s="743">
        <v>213071</v>
      </c>
      <c r="O82" s="744"/>
      <c r="P82" s="744"/>
      <c r="Q82" s="744"/>
      <c r="R82" s="744"/>
      <c r="S82" s="745"/>
      <c r="T82" s="747">
        <f>SUM(H82:S82)</f>
        <v>6108000</v>
      </c>
      <c r="U82" s="748"/>
      <c r="V82" s="748"/>
      <c r="W82" s="748"/>
      <c r="X82" s="748"/>
      <c r="Y82" s="749"/>
      <c r="Z82" s="844"/>
      <c r="AA82" s="845"/>
      <c r="AB82" s="845"/>
      <c r="AC82" s="845"/>
      <c r="AD82" s="845"/>
      <c r="AE82" s="845"/>
      <c r="AF82" s="845"/>
      <c r="AG82" s="84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Y82" s="80"/>
      <c r="AZ82" s="80"/>
    </row>
    <row r="83" spans="1:54" s="3" customFormat="1" ht="15.6" customHeight="1" x14ac:dyDescent="0.15">
      <c r="A83" s="49"/>
      <c r="B83" s="498"/>
      <c r="C83" s="498"/>
      <c r="D83" s="498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Y83" s="79"/>
      <c r="AZ83" s="79"/>
    </row>
    <row r="84" spans="1:54" s="1" customFormat="1" ht="15.6" customHeight="1" x14ac:dyDescent="0.15">
      <c r="A84" s="49" t="s">
        <v>49</v>
      </c>
      <c r="B84" s="49"/>
      <c r="C84" s="49"/>
      <c r="D84" s="49"/>
      <c r="E84" s="49"/>
      <c r="F84" s="49"/>
      <c r="G84" s="49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54" t="s">
        <v>121</v>
      </c>
      <c r="AB84" s="49"/>
      <c r="AC84" s="49"/>
      <c r="AD84" s="49"/>
      <c r="AE84" s="49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Y84" s="473"/>
      <c r="AZ84" s="473"/>
    </row>
    <row r="85" spans="1:54" s="1" customFormat="1" ht="15.6" customHeight="1" x14ac:dyDescent="0.15">
      <c r="A85" s="49"/>
      <c r="B85" s="730" t="s">
        <v>78</v>
      </c>
      <c r="C85" s="730"/>
      <c r="D85" s="730"/>
      <c r="E85" s="730"/>
      <c r="F85" s="730"/>
      <c r="G85" s="751" t="s">
        <v>127</v>
      </c>
      <c r="H85" s="752"/>
      <c r="I85" s="752"/>
      <c r="J85" s="752"/>
      <c r="K85" s="753"/>
      <c r="L85" s="751" t="s">
        <v>138</v>
      </c>
      <c r="M85" s="752"/>
      <c r="N85" s="752"/>
      <c r="O85" s="752"/>
      <c r="P85" s="753"/>
      <c r="Q85" s="751" t="s">
        <v>132</v>
      </c>
      <c r="R85" s="752"/>
      <c r="S85" s="752"/>
      <c r="T85" s="752"/>
      <c r="U85" s="753"/>
      <c r="V85" s="754" t="s">
        <v>145</v>
      </c>
      <c r="W85" s="730"/>
      <c r="X85" s="730"/>
      <c r="Y85" s="730"/>
      <c r="Z85" s="730"/>
      <c r="AA85" s="754" t="s">
        <v>177</v>
      </c>
      <c r="AB85" s="730"/>
      <c r="AC85" s="730"/>
      <c r="AD85" s="730"/>
      <c r="AE85" s="730"/>
      <c r="AF85" s="16"/>
      <c r="AG85" s="16"/>
      <c r="AH85" s="16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Y85" s="473"/>
      <c r="AZ85" s="473"/>
    </row>
    <row r="86" spans="1:54" s="1" customFormat="1" ht="15.6" customHeight="1" x14ac:dyDescent="0.15">
      <c r="A86" s="49"/>
      <c r="B86" s="756" t="s">
        <v>77</v>
      </c>
      <c r="C86" s="756"/>
      <c r="D86" s="756"/>
      <c r="E86" s="756"/>
      <c r="F86" s="756"/>
      <c r="G86" s="757">
        <f>990+98</f>
        <v>1088</v>
      </c>
      <c r="H86" s="758"/>
      <c r="I86" s="758"/>
      <c r="J86" s="758"/>
      <c r="K86" s="759"/>
      <c r="L86" s="757">
        <v>1174</v>
      </c>
      <c r="M86" s="758"/>
      <c r="N86" s="758"/>
      <c r="O86" s="758"/>
      <c r="P86" s="759"/>
      <c r="Q86" s="757">
        <v>1207</v>
      </c>
      <c r="R86" s="758"/>
      <c r="S86" s="758"/>
      <c r="T86" s="758"/>
      <c r="U86" s="759"/>
      <c r="V86" s="763">
        <v>1103</v>
      </c>
      <c r="W86" s="763"/>
      <c r="X86" s="763"/>
      <c r="Y86" s="763"/>
      <c r="Z86" s="763"/>
      <c r="AA86" s="764">
        <f>77+122+80+81+103+93+102+107+85+89+108</f>
        <v>1047</v>
      </c>
      <c r="AB86" s="764"/>
      <c r="AC86" s="764"/>
      <c r="AD86" s="764"/>
      <c r="AE86" s="764"/>
      <c r="AF86" s="16"/>
      <c r="AG86" s="16"/>
      <c r="AH86" s="16"/>
      <c r="AI86" s="755"/>
      <c r="AJ86" s="755"/>
      <c r="AK86" s="755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Y86" s="473"/>
      <c r="AZ86" s="473"/>
    </row>
    <row r="87" spans="1:54" s="1" customFormat="1" ht="15.6" customHeight="1" x14ac:dyDescent="0.15">
      <c r="A87" s="49"/>
      <c r="B87" s="756" t="s">
        <v>76</v>
      </c>
      <c r="C87" s="756"/>
      <c r="D87" s="756"/>
      <c r="E87" s="756"/>
      <c r="F87" s="756"/>
      <c r="G87" s="757">
        <v>91</v>
      </c>
      <c r="H87" s="758"/>
      <c r="I87" s="758"/>
      <c r="J87" s="758"/>
      <c r="K87" s="759"/>
      <c r="L87" s="757">
        <f>L86/12</f>
        <v>97.833333333333329</v>
      </c>
      <c r="M87" s="758"/>
      <c r="N87" s="758"/>
      <c r="O87" s="758"/>
      <c r="P87" s="759"/>
      <c r="Q87" s="757">
        <f>Q86/12</f>
        <v>100.58333333333333</v>
      </c>
      <c r="R87" s="758"/>
      <c r="S87" s="758"/>
      <c r="T87" s="758"/>
      <c r="U87" s="759"/>
      <c r="V87" s="757">
        <f>V86/12</f>
        <v>91.916666666666671</v>
      </c>
      <c r="W87" s="758"/>
      <c r="X87" s="758"/>
      <c r="Y87" s="758"/>
      <c r="Z87" s="759"/>
      <c r="AA87" s="760">
        <f>AA86/11</f>
        <v>95.181818181818187</v>
      </c>
      <c r="AB87" s="761"/>
      <c r="AC87" s="761"/>
      <c r="AD87" s="761"/>
      <c r="AE87" s="762"/>
      <c r="AF87" s="16"/>
      <c r="AG87" s="16"/>
      <c r="AH87" s="16"/>
      <c r="AI87" s="889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Y87" s="473"/>
      <c r="AZ87" s="473"/>
    </row>
    <row r="88" spans="1:54" s="1" customFormat="1" ht="15.6" customHeight="1" x14ac:dyDescent="0.15">
      <c r="A88" s="49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Y88" s="473"/>
      <c r="AZ88" s="473"/>
    </row>
    <row r="89" spans="1:54" s="1" customFormat="1" ht="15.6" customHeight="1" x14ac:dyDescent="0.15">
      <c r="A89" s="50" t="s">
        <v>63</v>
      </c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16"/>
      <c r="U89" s="16"/>
      <c r="V89" s="16"/>
      <c r="W89" s="16"/>
      <c r="X89" s="16"/>
      <c r="Y89" s="16"/>
      <c r="AA89" s="478" t="s">
        <v>121</v>
      </c>
      <c r="AB89" s="478"/>
      <c r="AC89" s="478"/>
      <c r="AD89" s="478"/>
      <c r="AE89" s="478"/>
      <c r="AF89" s="16"/>
      <c r="AG89" s="16"/>
      <c r="AH89" s="16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Y89" s="473"/>
      <c r="AZ89" s="473"/>
    </row>
    <row r="90" spans="1:54" s="1" customFormat="1" ht="15.6" customHeight="1" x14ac:dyDescent="0.15">
      <c r="A90" s="49"/>
      <c r="B90" s="765" t="s">
        <v>70</v>
      </c>
      <c r="C90" s="766"/>
      <c r="D90" s="767"/>
      <c r="E90" s="765" t="s">
        <v>50</v>
      </c>
      <c r="F90" s="766"/>
      <c r="G90" s="766"/>
      <c r="H90" s="766"/>
      <c r="I90" s="767"/>
      <c r="J90" s="751" t="s">
        <v>133</v>
      </c>
      <c r="K90" s="752"/>
      <c r="L90" s="752"/>
      <c r="M90" s="752"/>
      <c r="N90" s="752"/>
      <c r="O90" s="752"/>
      <c r="P90" s="752"/>
      <c r="Q90" s="753"/>
      <c r="R90" s="751" t="s">
        <v>146</v>
      </c>
      <c r="S90" s="752"/>
      <c r="T90" s="752"/>
      <c r="U90" s="752"/>
      <c r="V90" s="752"/>
      <c r="W90" s="752"/>
      <c r="X90" s="752"/>
      <c r="Y90" s="753"/>
      <c r="Z90" s="751" t="s">
        <v>178</v>
      </c>
      <c r="AA90" s="752"/>
      <c r="AB90" s="752"/>
      <c r="AC90" s="752"/>
      <c r="AD90" s="752"/>
      <c r="AE90" s="752"/>
      <c r="AF90" s="752"/>
      <c r="AG90" s="753"/>
      <c r="AH90" s="16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Y90" s="473"/>
      <c r="AZ90" s="473"/>
    </row>
    <row r="91" spans="1:54" s="1" customFormat="1" ht="15.6" customHeight="1" x14ac:dyDescent="0.15">
      <c r="A91" s="49"/>
      <c r="B91" s="785"/>
      <c r="C91" s="786"/>
      <c r="D91" s="787"/>
      <c r="E91" s="785"/>
      <c r="F91" s="786"/>
      <c r="G91" s="786"/>
      <c r="H91" s="786"/>
      <c r="I91" s="787"/>
      <c r="J91" s="788" t="s">
        <v>51</v>
      </c>
      <c r="K91" s="788"/>
      <c r="L91" s="788"/>
      <c r="M91" s="788"/>
      <c r="N91" s="765" t="s">
        <v>30</v>
      </c>
      <c r="O91" s="766"/>
      <c r="P91" s="766"/>
      <c r="Q91" s="767"/>
      <c r="R91" s="788" t="s">
        <v>51</v>
      </c>
      <c r="S91" s="788"/>
      <c r="T91" s="788"/>
      <c r="U91" s="788"/>
      <c r="V91" s="765" t="s">
        <v>30</v>
      </c>
      <c r="W91" s="766"/>
      <c r="X91" s="766"/>
      <c r="Y91" s="767"/>
      <c r="Z91" s="788" t="s">
        <v>51</v>
      </c>
      <c r="AA91" s="788"/>
      <c r="AB91" s="788"/>
      <c r="AC91" s="788"/>
      <c r="AD91" s="765" t="s">
        <v>30</v>
      </c>
      <c r="AE91" s="766"/>
      <c r="AF91" s="766"/>
      <c r="AG91" s="767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Y91" s="473"/>
      <c r="AZ91" s="473"/>
    </row>
    <row r="92" spans="1:54" s="1" customFormat="1" ht="15.6" customHeight="1" x14ac:dyDescent="0.15">
      <c r="A92" s="52"/>
      <c r="B92" s="768" t="s">
        <v>74</v>
      </c>
      <c r="C92" s="769"/>
      <c r="D92" s="770"/>
      <c r="E92" s="777" t="s">
        <v>52</v>
      </c>
      <c r="F92" s="777"/>
      <c r="G92" s="777"/>
      <c r="H92" s="777"/>
      <c r="I92" s="777"/>
      <c r="J92" s="778">
        <v>193</v>
      </c>
      <c r="K92" s="778"/>
      <c r="L92" s="778"/>
      <c r="M92" s="778"/>
      <c r="N92" s="779">
        <f>J92/SUM(J92:M96)</f>
        <v>0.15990057995028997</v>
      </c>
      <c r="O92" s="779"/>
      <c r="P92" s="779"/>
      <c r="Q92" s="779"/>
      <c r="R92" s="780">
        <v>206</v>
      </c>
      <c r="S92" s="778"/>
      <c r="T92" s="778"/>
      <c r="U92" s="778"/>
      <c r="V92" s="779">
        <f>R92/V86</f>
        <v>0.18676337262012693</v>
      </c>
      <c r="W92" s="779"/>
      <c r="X92" s="779"/>
      <c r="Y92" s="779"/>
      <c r="Z92" s="781">
        <f>13+27+18+18+18+12+14+24+16+24+19</f>
        <v>203</v>
      </c>
      <c r="AA92" s="782"/>
      <c r="AB92" s="782"/>
      <c r="AC92" s="782"/>
      <c r="AD92" s="823">
        <v>0.193</v>
      </c>
      <c r="AE92" s="823"/>
      <c r="AF92" s="823"/>
      <c r="AG92" s="823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Y92" s="789"/>
      <c r="AZ92" s="789"/>
    </row>
    <row r="93" spans="1:54" s="1" customFormat="1" ht="15.6" customHeight="1" x14ac:dyDescent="0.15">
      <c r="A93" s="52"/>
      <c r="B93" s="771"/>
      <c r="C93" s="772"/>
      <c r="D93" s="773"/>
      <c r="E93" s="784" t="s">
        <v>53</v>
      </c>
      <c r="F93" s="784"/>
      <c r="G93" s="784"/>
      <c r="H93" s="784"/>
      <c r="I93" s="784"/>
      <c r="J93" s="790">
        <v>600</v>
      </c>
      <c r="K93" s="790"/>
      <c r="L93" s="790"/>
      <c r="M93" s="790"/>
      <c r="N93" s="791">
        <f>J93/SUM(J92:M96)</f>
        <v>0.4971002485501243</v>
      </c>
      <c r="O93" s="791"/>
      <c r="P93" s="791"/>
      <c r="Q93" s="791"/>
      <c r="R93" s="792">
        <v>391</v>
      </c>
      <c r="S93" s="790"/>
      <c r="T93" s="790"/>
      <c r="U93" s="790"/>
      <c r="V93" s="793">
        <f>R93/V86</f>
        <v>0.35448776065276516</v>
      </c>
      <c r="W93" s="794"/>
      <c r="X93" s="794"/>
      <c r="Y93" s="795"/>
      <c r="Z93" s="796">
        <f>42+50+26+32+39+40+51+37+36+36+57</f>
        <v>446</v>
      </c>
      <c r="AA93" s="797"/>
      <c r="AB93" s="797"/>
      <c r="AC93" s="797"/>
      <c r="AD93" s="783">
        <f>Z93/AA86</f>
        <v>0.42597898758357211</v>
      </c>
      <c r="AE93" s="783"/>
      <c r="AF93" s="783"/>
      <c r="AG93" s="783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Y93" s="789"/>
      <c r="AZ93" s="789"/>
    </row>
    <row r="94" spans="1:54" s="1" customFormat="1" ht="15.6" customHeight="1" x14ac:dyDescent="0.15">
      <c r="A94" s="52"/>
      <c r="B94" s="771"/>
      <c r="C94" s="772"/>
      <c r="D94" s="773"/>
      <c r="E94" s="784" t="s">
        <v>54</v>
      </c>
      <c r="F94" s="784"/>
      <c r="G94" s="784"/>
      <c r="H94" s="784"/>
      <c r="I94" s="784"/>
      <c r="J94" s="790">
        <v>20</v>
      </c>
      <c r="K94" s="790"/>
      <c r="L94" s="790"/>
      <c r="M94" s="790"/>
      <c r="N94" s="791">
        <f>J94/SUM(J92:M96)</f>
        <v>1.6570008285004142E-2</v>
      </c>
      <c r="O94" s="791"/>
      <c r="P94" s="791"/>
      <c r="Q94" s="791"/>
      <c r="R94" s="792">
        <v>15</v>
      </c>
      <c r="S94" s="790"/>
      <c r="T94" s="790"/>
      <c r="U94" s="790"/>
      <c r="V94" s="793">
        <f>R94/V86</f>
        <v>1.3599274705349048E-2</v>
      </c>
      <c r="W94" s="794"/>
      <c r="X94" s="794"/>
      <c r="Y94" s="795"/>
      <c r="Z94" s="796">
        <f>2+0+4+0+0+0+1+0+2+1+0</f>
        <v>10</v>
      </c>
      <c r="AA94" s="797"/>
      <c r="AB94" s="797"/>
      <c r="AC94" s="797"/>
      <c r="AD94" s="783">
        <f>Z94/AA86</f>
        <v>9.5510983763132766E-3</v>
      </c>
      <c r="AE94" s="783"/>
      <c r="AF94" s="783"/>
      <c r="AG94" s="783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Y94" s="789"/>
      <c r="AZ94" s="789"/>
    </row>
    <row r="95" spans="1:54" s="1" customFormat="1" ht="15.6" customHeight="1" x14ac:dyDescent="0.15">
      <c r="A95" s="52"/>
      <c r="B95" s="771"/>
      <c r="C95" s="772"/>
      <c r="D95" s="773"/>
      <c r="E95" s="798" t="s">
        <v>55</v>
      </c>
      <c r="F95" s="798"/>
      <c r="G95" s="798"/>
      <c r="H95" s="798"/>
      <c r="I95" s="798"/>
      <c r="J95" s="790">
        <v>0</v>
      </c>
      <c r="K95" s="790"/>
      <c r="L95" s="790"/>
      <c r="M95" s="790"/>
      <c r="N95" s="791">
        <f>J95/SUM(J92:M96)</f>
        <v>0</v>
      </c>
      <c r="O95" s="791"/>
      <c r="P95" s="791"/>
      <c r="Q95" s="791"/>
      <c r="R95" s="792">
        <v>0</v>
      </c>
      <c r="S95" s="790"/>
      <c r="T95" s="790"/>
      <c r="U95" s="790"/>
      <c r="V95" s="793">
        <v>0</v>
      </c>
      <c r="W95" s="794"/>
      <c r="X95" s="794"/>
      <c r="Y95" s="795"/>
      <c r="Z95" s="796">
        <f>0+0+0+0+0+0+0+0+0+0+0</f>
        <v>0</v>
      </c>
      <c r="AA95" s="797"/>
      <c r="AB95" s="797"/>
      <c r="AC95" s="797"/>
      <c r="AD95" s="783">
        <v>0</v>
      </c>
      <c r="AE95" s="783"/>
      <c r="AF95" s="783"/>
      <c r="AG95" s="783"/>
      <c r="AH95" s="13"/>
      <c r="AI95" s="16"/>
      <c r="AJ95" s="16"/>
      <c r="AK95" s="799"/>
      <c r="AL95" s="799"/>
      <c r="AM95" s="799"/>
      <c r="AN95" s="13"/>
      <c r="AO95" s="13"/>
      <c r="AP95" s="72"/>
      <c r="AQ95" s="72"/>
      <c r="AR95" s="72"/>
      <c r="AS95" s="72"/>
      <c r="AT95" s="72"/>
      <c r="AU95" s="72"/>
      <c r="AV95" s="73"/>
      <c r="AW95" s="73"/>
      <c r="AX95" s="73"/>
      <c r="AY95" s="789"/>
      <c r="AZ95" s="789"/>
      <c r="BA95" s="73"/>
    </row>
    <row r="96" spans="1:54" s="1" customFormat="1" ht="15.6" customHeight="1" x14ac:dyDescent="0.15">
      <c r="A96" s="52"/>
      <c r="B96" s="774"/>
      <c r="C96" s="775"/>
      <c r="D96" s="776"/>
      <c r="E96" s="805" t="s">
        <v>56</v>
      </c>
      <c r="F96" s="805"/>
      <c r="G96" s="805"/>
      <c r="H96" s="805"/>
      <c r="I96" s="805"/>
      <c r="J96" s="806">
        <v>394</v>
      </c>
      <c r="K96" s="806"/>
      <c r="L96" s="806"/>
      <c r="M96" s="806"/>
      <c r="N96" s="807">
        <v>0.32600000000000001</v>
      </c>
      <c r="O96" s="807"/>
      <c r="P96" s="807"/>
      <c r="Q96" s="807"/>
      <c r="R96" s="808">
        <v>491</v>
      </c>
      <c r="S96" s="806"/>
      <c r="T96" s="806"/>
      <c r="U96" s="806"/>
      <c r="V96" s="809">
        <f>R96/V86</f>
        <v>0.44514959202175886</v>
      </c>
      <c r="W96" s="810"/>
      <c r="X96" s="810"/>
      <c r="Y96" s="811"/>
      <c r="Z96" s="812">
        <f>20+45+32+31+46+41+36+46+31+28+32</f>
        <v>388</v>
      </c>
      <c r="AA96" s="813"/>
      <c r="AB96" s="813"/>
      <c r="AC96" s="813"/>
      <c r="AD96" s="783">
        <f>Z96/AA86</f>
        <v>0.37058261700095513</v>
      </c>
      <c r="AE96" s="783"/>
      <c r="AF96" s="783"/>
      <c r="AG96" s="783"/>
      <c r="AH96" s="13"/>
      <c r="AI96" s="13"/>
      <c r="AJ96" s="800"/>
      <c r="AK96" s="800"/>
      <c r="AL96" s="800"/>
      <c r="AM96" s="13"/>
      <c r="AN96" s="13"/>
      <c r="AO96" s="13"/>
      <c r="AP96" s="13"/>
      <c r="AQ96" s="13"/>
      <c r="AR96" s="13"/>
      <c r="AS96" s="13"/>
      <c r="AT96" s="13"/>
      <c r="AU96" s="13"/>
      <c r="AY96" s="789"/>
      <c r="AZ96" s="789"/>
      <c r="BA96" s="801"/>
      <c r="BB96" s="801"/>
    </row>
    <row r="97" spans="1:54" s="1" customFormat="1" ht="15.6" customHeight="1" x14ac:dyDescent="0.15">
      <c r="A97" s="52"/>
      <c r="B97" s="768" t="s">
        <v>75</v>
      </c>
      <c r="C97" s="769"/>
      <c r="D97" s="770"/>
      <c r="E97" s="777" t="s">
        <v>57</v>
      </c>
      <c r="F97" s="777"/>
      <c r="G97" s="777"/>
      <c r="H97" s="777"/>
      <c r="I97" s="777"/>
      <c r="J97" s="778">
        <v>113</v>
      </c>
      <c r="K97" s="778"/>
      <c r="L97" s="778"/>
      <c r="M97" s="778"/>
      <c r="N97" s="779">
        <f>J97/SUM(J97:M100)</f>
        <v>9.3620546810273403E-2</v>
      </c>
      <c r="O97" s="779"/>
      <c r="P97" s="779"/>
      <c r="Q97" s="779"/>
      <c r="R97" s="778">
        <v>86</v>
      </c>
      <c r="S97" s="778"/>
      <c r="T97" s="778"/>
      <c r="U97" s="778"/>
      <c r="V97" s="802">
        <f>R97/SUM(R97:U100)</f>
        <v>7.7969174977334549E-2</v>
      </c>
      <c r="W97" s="803"/>
      <c r="X97" s="803"/>
      <c r="Y97" s="804"/>
      <c r="Z97" s="782">
        <f>3+16+6+5+31+7+5+5+6+7+6</f>
        <v>97</v>
      </c>
      <c r="AA97" s="782"/>
      <c r="AB97" s="782"/>
      <c r="AC97" s="782"/>
      <c r="AD97" s="814">
        <f>Z97/AA86</f>
        <v>9.2645654250238782E-2</v>
      </c>
      <c r="AE97" s="814"/>
      <c r="AF97" s="814"/>
      <c r="AG97" s="814"/>
      <c r="AH97" s="13"/>
      <c r="AI97" s="13"/>
      <c r="AJ97" s="13"/>
      <c r="AK97" s="799"/>
      <c r="AL97" s="799"/>
      <c r="AM97" s="799"/>
      <c r="AN97" s="13"/>
      <c r="AO97" s="13"/>
      <c r="AP97" s="13"/>
      <c r="AQ97" s="13"/>
      <c r="AR97" s="13"/>
      <c r="AS97" s="13"/>
      <c r="AT97" s="13"/>
      <c r="AU97" s="13"/>
      <c r="AY97" s="789"/>
      <c r="AZ97" s="789"/>
    </row>
    <row r="98" spans="1:54" s="1" customFormat="1" ht="15.6" customHeight="1" x14ac:dyDescent="0.15">
      <c r="A98" s="52"/>
      <c r="B98" s="771"/>
      <c r="C98" s="772"/>
      <c r="D98" s="773"/>
      <c r="E98" s="784" t="s">
        <v>58</v>
      </c>
      <c r="F98" s="784"/>
      <c r="G98" s="784"/>
      <c r="H98" s="784"/>
      <c r="I98" s="784"/>
      <c r="J98" s="790">
        <v>62</v>
      </c>
      <c r="K98" s="790"/>
      <c r="L98" s="790"/>
      <c r="M98" s="790"/>
      <c r="N98" s="791">
        <f>J98/SUM(J97:M100)</f>
        <v>5.136702568351284E-2</v>
      </c>
      <c r="O98" s="791"/>
      <c r="P98" s="791"/>
      <c r="Q98" s="791"/>
      <c r="R98" s="790">
        <v>57</v>
      </c>
      <c r="S98" s="790"/>
      <c r="T98" s="790"/>
      <c r="U98" s="790"/>
      <c r="V98" s="793">
        <f>R98/SUM(R97:U100)</f>
        <v>5.1677243880326386E-2</v>
      </c>
      <c r="W98" s="794"/>
      <c r="X98" s="794"/>
      <c r="Y98" s="795"/>
      <c r="Z98" s="797">
        <f>2+2+7+5+4+2+5+1+2+5+9</f>
        <v>44</v>
      </c>
      <c r="AA98" s="797"/>
      <c r="AB98" s="797"/>
      <c r="AC98" s="797"/>
      <c r="AD98" s="783">
        <f>Z98/AA86</f>
        <v>4.2024832855778411E-2</v>
      </c>
      <c r="AE98" s="783"/>
      <c r="AF98" s="783"/>
      <c r="AG98" s="78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Y98" s="789"/>
      <c r="AZ98" s="789"/>
    </row>
    <row r="99" spans="1:54" s="3" customFormat="1" ht="15.6" customHeight="1" x14ac:dyDescent="0.15">
      <c r="A99" s="52"/>
      <c r="B99" s="771"/>
      <c r="C99" s="772"/>
      <c r="D99" s="773"/>
      <c r="E99" s="784" t="s">
        <v>59</v>
      </c>
      <c r="F99" s="784"/>
      <c r="G99" s="784"/>
      <c r="H99" s="784"/>
      <c r="I99" s="784"/>
      <c r="J99" s="790">
        <v>341</v>
      </c>
      <c r="K99" s="790"/>
      <c r="L99" s="790"/>
      <c r="M99" s="790"/>
      <c r="N99" s="791">
        <f>J99/SUM(J97:M100)</f>
        <v>0.28251864125932064</v>
      </c>
      <c r="O99" s="791"/>
      <c r="P99" s="791"/>
      <c r="Q99" s="791"/>
      <c r="R99" s="790">
        <v>361</v>
      </c>
      <c r="S99" s="790"/>
      <c r="T99" s="790"/>
      <c r="U99" s="790"/>
      <c r="V99" s="793">
        <f>R99/SUM(R97:U100)</f>
        <v>0.32728921124206711</v>
      </c>
      <c r="W99" s="794"/>
      <c r="X99" s="794"/>
      <c r="Y99" s="795"/>
      <c r="Z99" s="797">
        <f>21+36+30+21+9+34+20+40+25+34+23</f>
        <v>293</v>
      </c>
      <c r="AA99" s="797"/>
      <c r="AB99" s="797"/>
      <c r="AC99" s="797"/>
      <c r="AD99" s="783">
        <f>Z99/AA86</f>
        <v>0.279847182425979</v>
      </c>
      <c r="AE99" s="783"/>
      <c r="AF99" s="783"/>
      <c r="AG99" s="78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4"/>
      <c r="AS99" s="14"/>
      <c r="AT99" s="14"/>
      <c r="AU99" s="14"/>
      <c r="AY99" s="789"/>
      <c r="AZ99" s="789"/>
    </row>
    <row r="100" spans="1:54" s="3" customFormat="1" ht="15.6" customHeight="1" x14ac:dyDescent="0.15">
      <c r="A100" s="52"/>
      <c r="B100" s="774"/>
      <c r="C100" s="775"/>
      <c r="D100" s="776"/>
      <c r="E100" s="805" t="s">
        <v>56</v>
      </c>
      <c r="F100" s="805"/>
      <c r="G100" s="805"/>
      <c r="H100" s="805"/>
      <c r="I100" s="805"/>
      <c r="J100" s="806">
        <v>691</v>
      </c>
      <c r="K100" s="806"/>
      <c r="L100" s="806"/>
      <c r="M100" s="806"/>
      <c r="N100" s="807">
        <f>J100/SUM(J97:M100)</f>
        <v>0.57249378624689318</v>
      </c>
      <c r="O100" s="807"/>
      <c r="P100" s="807"/>
      <c r="Q100" s="807"/>
      <c r="R100" s="806">
        <v>599</v>
      </c>
      <c r="S100" s="806"/>
      <c r="T100" s="806"/>
      <c r="U100" s="806"/>
      <c r="V100" s="809">
        <f>R100/SUM(R97:U100)</f>
        <v>0.54306436990027196</v>
      </c>
      <c r="W100" s="810"/>
      <c r="X100" s="810"/>
      <c r="Y100" s="811"/>
      <c r="Z100" s="813">
        <f>51+68+37+50+59+50+72+61+52+43+70</f>
        <v>613</v>
      </c>
      <c r="AA100" s="813"/>
      <c r="AB100" s="813"/>
      <c r="AC100" s="813"/>
      <c r="AD100" s="817">
        <f>Z100/AA86</f>
        <v>0.5854823304680038</v>
      </c>
      <c r="AE100" s="817"/>
      <c r="AF100" s="817"/>
      <c r="AG100" s="817"/>
      <c r="AH100" s="13"/>
      <c r="AI100" s="13"/>
      <c r="AJ100" s="800"/>
      <c r="AK100" s="800"/>
      <c r="AL100" s="800"/>
      <c r="AM100" s="83"/>
      <c r="AN100" s="13"/>
      <c r="AO100" s="13"/>
      <c r="AP100" s="13"/>
      <c r="AQ100" s="13"/>
      <c r="AR100" s="14"/>
      <c r="AS100" s="14"/>
      <c r="AT100" s="14"/>
      <c r="AU100" s="14"/>
      <c r="AY100" s="789"/>
      <c r="AZ100" s="789"/>
      <c r="BA100" s="789"/>
      <c r="BB100" s="789"/>
    </row>
    <row r="101" spans="1:54" s="3" customFormat="1" ht="15.6" customHeight="1" x14ac:dyDescent="0.15">
      <c r="A101" s="55"/>
      <c r="Y101" s="2"/>
      <c r="Z101" s="2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4"/>
      <c r="AS101" s="14"/>
      <c r="AT101" s="14"/>
      <c r="AU101" s="14"/>
      <c r="AY101" s="79"/>
      <c r="AZ101" s="79"/>
    </row>
    <row r="102" spans="1:54" s="3" customFormat="1" ht="15.6" customHeight="1" x14ac:dyDescent="0.15">
      <c r="A102" s="55" t="s">
        <v>1</v>
      </c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AG102" s="4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4"/>
      <c r="AS102" s="14"/>
      <c r="AT102" s="14"/>
      <c r="AU102" s="14"/>
      <c r="AY102" s="79"/>
      <c r="AZ102" s="79"/>
    </row>
    <row r="103" spans="1:54" s="3" customFormat="1" ht="15.6" customHeight="1" x14ac:dyDescent="0.15">
      <c r="A103" s="50" t="s">
        <v>176</v>
      </c>
      <c r="AG103" s="4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4"/>
      <c r="AS103" s="14"/>
      <c r="AT103" s="14"/>
      <c r="AU103" s="14"/>
      <c r="AY103" s="79"/>
      <c r="AZ103" s="79"/>
    </row>
    <row r="104" spans="1:54" s="3" customFormat="1" ht="15.6" customHeight="1" x14ac:dyDescent="0.15">
      <c r="A104" s="55"/>
      <c r="B104" s="595" t="s">
        <v>14</v>
      </c>
      <c r="C104" s="595"/>
      <c r="D104" s="595" t="s">
        <v>15</v>
      </c>
      <c r="E104" s="595"/>
      <c r="F104" s="595"/>
      <c r="G104" s="595"/>
      <c r="H104" s="595"/>
      <c r="I104" s="595" t="s">
        <v>16</v>
      </c>
      <c r="J104" s="595"/>
      <c r="K104" s="595"/>
      <c r="L104" s="595"/>
      <c r="M104" s="595"/>
      <c r="N104" s="595" t="s">
        <v>17</v>
      </c>
      <c r="O104" s="595"/>
      <c r="P104" s="595"/>
      <c r="Q104" s="595"/>
      <c r="R104" s="595"/>
      <c r="S104" s="595" t="s">
        <v>18</v>
      </c>
      <c r="T104" s="595"/>
      <c r="U104" s="595"/>
      <c r="V104" s="595"/>
      <c r="W104" s="595"/>
      <c r="X104" s="595" t="s">
        <v>19</v>
      </c>
      <c r="Y104" s="595"/>
      <c r="Z104" s="595"/>
      <c r="AA104" s="595"/>
      <c r="AB104" s="595"/>
      <c r="AC104" s="595" t="s">
        <v>20</v>
      </c>
      <c r="AD104" s="595"/>
      <c r="AE104" s="595"/>
      <c r="AF104" s="595"/>
      <c r="AG104" s="7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Y104" s="79"/>
      <c r="AZ104" s="79"/>
    </row>
    <row r="105" spans="1:54" ht="15.6" customHeight="1" x14ac:dyDescent="0.15">
      <c r="A105" s="52"/>
      <c r="B105" s="815" t="s">
        <v>9</v>
      </c>
      <c r="C105" s="815"/>
      <c r="D105" s="816">
        <v>46</v>
      </c>
      <c r="E105" s="816"/>
      <c r="F105" s="816"/>
      <c r="G105" s="816"/>
      <c r="H105" s="816"/>
      <c r="I105" s="816">
        <v>2</v>
      </c>
      <c r="J105" s="816"/>
      <c r="K105" s="816"/>
      <c r="L105" s="816"/>
      <c r="M105" s="816"/>
      <c r="N105" s="816">
        <v>0</v>
      </c>
      <c r="O105" s="816"/>
      <c r="P105" s="816"/>
      <c r="Q105" s="816"/>
      <c r="R105" s="816"/>
      <c r="S105" s="816">
        <v>43</v>
      </c>
      <c r="T105" s="816"/>
      <c r="U105" s="816"/>
      <c r="V105" s="816"/>
      <c r="W105" s="816"/>
      <c r="X105" s="816">
        <v>19</v>
      </c>
      <c r="Y105" s="816"/>
      <c r="Z105" s="816"/>
      <c r="AA105" s="816"/>
      <c r="AB105" s="816"/>
      <c r="AC105" s="816">
        <f>S105-X105</f>
        <v>24</v>
      </c>
      <c r="AD105" s="816"/>
      <c r="AE105" s="816"/>
      <c r="AF105" s="816"/>
    </row>
    <row r="106" spans="1:54" s="7" customFormat="1" ht="15.6" customHeight="1" x14ac:dyDescent="0.15">
      <c r="A106" s="18" t="s">
        <v>222</v>
      </c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Y106" s="80"/>
      <c r="AZ106" s="80"/>
    </row>
    <row r="107" spans="1:54" ht="15.6" customHeight="1" x14ac:dyDescent="0.15">
      <c r="A107" s="55"/>
      <c r="B107" s="764" t="s">
        <v>14</v>
      </c>
      <c r="C107" s="764"/>
      <c r="D107" s="764" t="s">
        <v>15</v>
      </c>
      <c r="E107" s="764"/>
      <c r="F107" s="764"/>
      <c r="G107" s="764"/>
      <c r="H107" s="764"/>
      <c r="I107" s="764" t="s">
        <v>16</v>
      </c>
      <c r="J107" s="764"/>
      <c r="K107" s="764"/>
      <c r="L107" s="764"/>
      <c r="M107" s="764"/>
      <c r="N107" s="764" t="s">
        <v>17</v>
      </c>
      <c r="O107" s="764"/>
      <c r="P107" s="764"/>
      <c r="Q107" s="764"/>
      <c r="R107" s="764"/>
      <c r="S107" s="763" t="s">
        <v>18</v>
      </c>
      <c r="T107" s="763"/>
      <c r="U107" s="763"/>
      <c r="V107" s="763"/>
      <c r="W107" s="763"/>
      <c r="X107" s="763" t="s">
        <v>19</v>
      </c>
      <c r="Y107" s="763"/>
      <c r="Z107" s="763"/>
      <c r="AA107" s="763"/>
      <c r="AB107" s="763"/>
      <c r="AC107" s="763" t="s">
        <v>20</v>
      </c>
      <c r="AD107" s="763"/>
      <c r="AE107" s="763"/>
      <c r="AF107" s="763"/>
    </row>
    <row r="108" spans="1:54" s="7" customFormat="1" ht="15.6" customHeight="1" x14ac:dyDescent="0.15">
      <c r="A108" s="13"/>
      <c r="B108" s="818" t="s">
        <v>9</v>
      </c>
      <c r="C108" s="818"/>
      <c r="D108" s="750">
        <f>1+4+5+1+5+5+6+1+2+2+6</f>
        <v>38</v>
      </c>
      <c r="E108" s="750"/>
      <c r="F108" s="750"/>
      <c r="G108" s="750"/>
      <c r="H108" s="750"/>
      <c r="I108" s="750">
        <f>0+0+1+0+0+0+1+0+0+0+0</f>
        <v>2</v>
      </c>
      <c r="J108" s="750"/>
      <c r="K108" s="750"/>
      <c r="L108" s="750"/>
      <c r="M108" s="750"/>
      <c r="N108" s="750">
        <f>0+0+0+0+2+0+3+1+1+0+1</f>
        <v>8</v>
      </c>
      <c r="O108" s="750"/>
      <c r="P108" s="750"/>
      <c r="Q108" s="750"/>
      <c r="R108" s="750"/>
      <c r="S108" s="746">
        <f>3+3+0+3+3+2+4+1+2+2+2</f>
        <v>25</v>
      </c>
      <c r="T108" s="746"/>
      <c r="U108" s="746"/>
      <c r="V108" s="746"/>
      <c r="W108" s="746"/>
      <c r="X108" s="746">
        <f>0+6+1+2+1+2+4+4+6+2+2</f>
        <v>30</v>
      </c>
      <c r="Y108" s="746"/>
      <c r="Z108" s="746"/>
      <c r="AA108" s="746"/>
      <c r="AB108" s="746"/>
      <c r="AC108" s="746">
        <f>S108-X108</f>
        <v>-5</v>
      </c>
      <c r="AD108" s="746"/>
      <c r="AE108" s="746"/>
      <c r="AF108" s="746"/>
      <c r="AY108" s="80"/>
      <c r="AZ108" s="80"/>
    </row>
    <row r="110" spans="1:54" ht="15.6" customHeight="1" x14ac:dyDescent="0.15">
      <c r="I110" s="820"/>
      <c r="J110" s="819"/>
      <c r="K110" s="819"/>
      <c r="L110" s="819"/>
      <c r="S110" s="820"/>
      <c r="T110" s="819"/>
      <c r="U110" s="819"/>
      <c r="V110" s="819"/>
      <c r="Z110" s="820"/>
      <c r="AA110" s="819"/>
      <c r="AB110" s="819"/>
      <c r="AC110" s="819"/>
    </row>
    <row r="111" spans="1:54" ht="15.6" customHeight="1" x14ac:dyDescent="0.15">
      <c r="D111" s="19"/>
      <c r="I111" s="819"/>
      <c r="J111" s="819"/>
      <c r="K111" s="819"/>
      <c r="L111" s="819"/>
      <c r="M111" s="819"/>
      <c r="N111" s="821"/>
      <c r="O111" s="821"/>
      <c r="P111" s="821"/>
      <c r="Q111" s="821"/>
      <c r="R111" s="819"/>
      <c r="S111" s="819"/>
      <c r="T111" s="819"/>
      <c r="U111" s="819"/>
      <c r="Z111" s="819"/>
      <c r="AA111" s="819"/>
      <c r="AB111" s="819"/>
      <c r="AC111" s="819"/>
    </row>
    <row r="112" spans="1:54" ht="15.6" customHeight="1" x14ac:dyDescent="0.15">
      <c r="I112" s="819"/>
      <c r="J112" s="819"/>
      <c r="K112" s="819"/>
      <c r="L112" s="819"/>
      <c r="M112" s="819"/>
      <c r="N112" s="819"/>
      <c r="O112" s="819"/>
      <c r="P112" s="819"/>
      <c r="Q112" s="819"/>
      <c r="R112" s="819"/>
      <c r="S112" s="819"/>
      <c r="T112" s="819"/>
      <c r="U112" s="819"/>
      <c r="Z112" s="819"/>
      <c r="AA112" s="819"/>
      <c r="AB112" s="819"/>
      <c r="AC112" s="819"/>
    </row>
    <row r="113" spans="4:29" ht="15.6" customHeight="1" x14ac:dyDescent="0.15">
      <c r="D113" s="19"/>
      <c r="I113" s="819"/>
      <c r="J113" s="819"/>
      <c r="K113" s="819"/>
      <c r="L113" s="819"/>
      <c r="M113" s="819"/>
      <c r="N113" s="819"/>
      <c r="O113" s="819"/>
      <c r="P113" s="819"/>
      <c r="Q113" s="819"/>
      <c r="R113" s="819"/>
      <c r="S113" s="819"/>
      <c r="T113" s="819"/>
      <c r="U113" s="819"/>
      <c r="Z113" s="819"/>
      <c r="AA113" s="819"/>
      <c r="AB113" s="819"/>
      <c r="AC113" s="819"/>
    </row>
  </sheetData>
  <mergeCells count="482">
    <mergeCell ref="I112:M112"/>
    <mergeCell ref="N112:Q112"/>
    <mergeCell ref="R112:U112"/>
    <mergeCell ref="Z112:AC112"/>
    <mergeCell ref="I113:M113"/>
    <mergeCell ref="N113:Q113"/>
    <mergeCell ref="R113:U113"/>
    <mergeCell ref="Z113:AC113"/>
    <mergeCell ref="I110:L110"/>
    <mergeCell ref="S110:V110"/>
    <mergeCell ref="Z110:AC110"/>
    <mergeCell ref="I111:M111"/>
    <mergeCell ref="N111:Q111"/>
    <mergeCell ref="R111:U111"/>
    <mergeCell ref="Z111:AC111"/>
    <mergeCell ref="B108:C108"/>
    <mergeCell ref="D108:H108"/>
    <mergeCell ref="I108:M108"/>
    <mergeCell ref="N108:R108"/>
    <mergeCell ref="S108:W108"/>
    <mergeCell ref="X108:AB108"/>
    <mergeCell ref="AC108:AF108"/>
    <mergeCell ref="B107:C107"/>
    <mergeCell ref="D107:H107"/>
    <mergeCell ref="I107:M107"/>
    <mergeCell ref="N107:R107"/>
    <mergeCell ref="S107:W107"/>
    <mergeCell ref="X107:AB107"/>
    <mergeCell ref="B105:C105"/>
    <mergeCell ref="D105:H105"/>
    <mergeCell ref="I105:M105"/>
    <mergeCell ref="N105:R105"/>
    <mergeCell ref="S105:W105"/>
    <mergeCell ref="X105:AB105"/>
    <mergeCell ref="AC105:AF105"/>
    <mergeCell ref="AD100:AG100"/>
    <mergeCell ref="AC107:AF107"/>
    <mergeCell ref="AJ100:AL100"/>
    <mergeCell ref="AY100:AZ100"/>
    <mergeCell ref="BA100:BB100"/>
    <mergeCell ref="B104:C104"/>
    <mergeCell ref="D104:H104"/>
    <mergeCell ref="I104:M104"/>
    <mergeCell ref="N104:R104"/>
    <mergeCell ref="S104:W104"/>
    <mergeCell ref="X104:AB104"/>
    <mergeCell ref="E100:I100"/>
    <mergeCell ref="J100:M100"/>
    <mergeCell ref="N100:Q100"/>
    <mergeCell ref="R100:U100"/>
    <mergeCell ref="V100:Y100"/>
    <mergeCell ref="Z100:AC100"/>
    <mergeCell ref="AC104:AF104"/>
    <mergeCell ref="Z98:AC98"/>
    <mergeCell ref="AD98:AG98"/>
    <mergeCell ref="AY98:AZ98"/>
    <mergeCell ref="E99:I99"/>
    <mergeCell ref="J99:M99"/>
    <mergeCell ref="N99:Q99"/>
    <mergeCell ref="R99:U99"/>
    <mergeCell ref="V99:Y99"/>
    <mergeCell ref="Z99:AC99"/>
    <mergeCell ref="AD99:AG99"/>
    <mergeCell ref="AY99:AZ99"/>
    <mergeCell ref="AJ96:AL96"/>
    <mergeCell ref="AY96:AZ96"/>
    <mergeCell ref="BA96:BB96"/>
    <mergeCell ref="B97:D100"/>
    <mergeCell ref="E97:I97"/>
    <mergeCell ref="J97:M97"/>
    <mergeCell ref="N97:Q97"/>
    <mergeCell ref="R97:U97"/>
    <mergeCell ref="V97:Y97"/>
    <mergeCell ref="E96:I96"/>
    <mergeCell ref="J96:M96"/>
    <mergeCell ref="N96:Q96"/>
    <mergeCell ref="R96:U96"/>
    <mergeCell ref="V96:Y96"/>
    <mergeCell ref="Z96:AC96"/>
    <mergeCell ref="Z97:AC97"/>
    <mergeCell ref="AD97:AG97"/>
    <mergeCell ref="AK97:AM97"/>
    <mergeCell ref="AY97:AZ97"/>
    <mergeCell ref="E98:I98"/>
    <mergeCell ref="J98:M98"/>
    <mergeCell ref="N98:Q98"/>
    <mergeCell ref="R98:U98"/>
    <mergeCell ref="V98:Y98"/>
    <mergeCell ref="AY94:AZ94"/>
    <mergeCell ref="E95:I95"/>
    <mergeCell ref="J95:M95"/>
    <mergeCell ref="N95:Q95"/>
    <mergeCell ref="R95:U95"/>
    <mergeCell ref="V95:Y95"/>
    <mergeCell ref="Z95:AC95"/>
    <mergeCell ref="AD95:AG95"/>
    <mergeCell ref="AK95:AM95"/>
    <mergeCell ref="AY95:AZ95"/>
    <mergeCell ref="J94:M94"/>
    <mergeCell ref="N94:Q94"/>
    <mergeCell ref="R94:U94"/>
    <mergeCell ref="V94:Y94"/>
    <mergeCell ref="Z94:AC94"/>
    <mergeCell ref="AD94:AG94"/>
    <mergeCell ref="AY92:AZ92"/>
    <mergeCell ref="E93:I93"/>
    <mergeCell ref="J93:M93"/>
    <mergeCell ref="N93:Q93"/>
    <mergeCell ref="R93:U93"/>
    <mergeCell ref="V93:Y93"/>
    <mergeCell ref="Z93:AC93"/>
    <mergeCell ref="AD93:AG93"/>
    <mergeCell ref="AY93:AZ93"/>
    <mergeCell ref="AD91:AG91"/>
    <mergeCell ref="B92:D96"/>
    <mergeCell ref="E92:I92"/>
    <mergeCell ref="J92:M92"/>
    <mergeCell ref="N92:Q92"/>
    <mergeCell ref="R92:U92"/>
    <mergeCell ref="V92:Y92"/>
    <mergeCell ref="Z92:AC92"/>
    <mergeCell ref="AD92:AG92"/>
    <mergeCell ref="E94:I94"/>
    <mergeCell ref="B90:D91"/>
    <mergeCell ref="E90:I91"/>
    <mergeCell ref="J90:Q90"/>
    <mergeCell ref="R90:Y90"/>
    <mergeCell ref="Z90:AG90"/>
    <mergeCell ref="J91:M91"/>
    <mergeCell ref="N91:Q91"/>
    <mergeCell ref="R91:U91"/>
    <mergeCell ref="V91:Y91"/>
    <mergeCell ref="Z91:AC91"/>
    <mergeCell ref="AD96:AG96"/>
    <mergeCell ref="AI86:AK86"/>
    <mergeCell ref="B87:F87"/>
    <mergeCell ref="G87:K87"/>
    <mergeCell ref="L87:P87"/>
    <mergeCell ref="Q87:U87"/>
    <mergeCell ref="V87:Z87"/>
    <mergeCell ref="AA87:AE87"/>
    <mergeCell ref="AA85:AE85"/>
    <mergeCell ref="B86:F86"/>
    <mergeCell ref="G86:K86"/>
    <mergeCell ref="L86:P86"/>
    <mergeCell ref="Q86:U86"/>
    <mergeCell ref="V86:Z86"/>
    <mergeCell ref="AA86:AE86"/>
    <mergeCell ref="B82:G82"/>
    <mergeCell ref="H82:M82"/>
    <mergeCell ref="N82:S82"/>
    <mergeCell ref="T82:Y82"/>
    <mergeCell ref="Z82:AG82"/>
    <mergeCell ref="B85:F85"/>
    <mergeCell ref="G85:K85"/>
    <mergeCell ref="L85:P85"/>
    <mergeCell ref="Q85:U85"/>
    <mergeCell ref="V85:Z85"/>
    <mergeCell ref="B80:G80"/>
    <mergeCell ref="H80:M80"/>
    <mergeCell ref="N80:S80"/>
    <mergeCell ref="T80:Y80"/>
    <mergeCell ref="Z80:AG80"/>
    <mergeCell ref="B81:G81"/>
    <mergeCell ref="H81:M81"/>
    <mergeCell ref="N81:S81"/>
    <mergeCell ref="T81:Y81"/>
    <mergeCell ref="Z81:AG81"/>
    <mergeCell ref="B78:G78"/>
    <mergeCell ref="H78:M78"/>
    <mergeCell ref="N78:S78"/>
    <mergeCell ref="T78:Y78"/>
    <mergeCell ref="Z78:AG78"/>
    <mergeCell ref="B79:G79"/>
    <mergeCell ref="H79:M79"/>
    <mergeCell ref="N79:S79"/>
    <mergeCell ref="T79:Y79"/>
    <mergeCell ref="Z79:AG79"/>
    <mergeCell ref="H71:J72"/>
    <mergeCell ref="K71:L72"/>
    <mergeCell ref="M71:N72"/>
    <mergeCell ref="O71:Q72"/>
    <mergeCell ref="X73:Y73"/>
    <mergeCell ref="Z73:AB73"/>
    <mergeCell ref="AC73:AD73"/>
    <mergeCell ref="AE73:AG73"/>
    <mergeCell ref="B76:G77"/>
    <mergeCell ref="H76:Y76"/>
    <mergeCell ref="Z76:AG77"/>
    <mergeCell ref="H77:M77"/>
    <mergeCell ref="N77:S77"/>
    <mergeCell ref="T77:Y77"/>
    <mergeCell ref="AQ67:AR67"/>
    <mergeCell ref="AQ68:AR68"/>
    <mergeCell ref="V67:W68"/>
    <mergeCell ref="X67:Y68"/>
    <mergeCell ref="Z67:AB68"/>
    <mergeCell ref="AC67:AD68"/>
    <mergeCell ref="AE71:AG72"/>
    <mergeCell ref="B73:D73"/>
    <mergeCell ref="E73:G73"/>
    <mergeCell ref="H73:J73"/>
    <mergeCell ref="K73:L73"/>
    <mergeCell ref="M73:N73"/>
    <mergeCell ref="O73:Q73"/>
    <mergeCell ref="R73:S73"/>
    <mergeCell ref="T73:U73"/>
    <mergeCell ref="V73:W73"/>
    <mergeCell ref="R71:S72"/>
    <mergeCell ref="T71:U72"/>
    <mergeCell ref="V71:W72"/>
    <mergeCell ref="X71:Y72"/>
    <mergeCell ref="Z71:AB72"/>
    <mergeCell ref="AC71:AD72"/>
    <mergeCell ref="B71:D72"/>
    <mergeCell ref="E71:G72"/>
    <mergeCell ref="AQ63:AR63"/>
    <mergeCell ref="AQ64:AR64"/>
    <mergeCell ref="B69:D70"/>
    <mergeCell ref="E69:G70"/>
    <mergeCell ref="H69:J70"/>
    <mergeCell ref="K69:L70"/>
    <mergeCell ref="M69:N70"/>
    <mergeCell ref="O69:Q70"/>
    <mergeCell ref="R69:S70"/>
    <mergeCell ref="R67:S68"/>
    <mergeCell ref="T67:U68"/>
    <mergeCell ref="B67:D68"/>
    <mergeCell ref="E67:G68"/>
    <mergeCell ref="H67:J68"/>
    <mergeCell ref="K67:L68"/>
    <mergeCell ref="M67:N68"/>
    <mergeCell ref="O67:Q68"/>
    <mergeCell ref="T69:U70"/>
    <mergeCell ref="V69:W70"/>
    <mergeCell ref="X69:Y70"/>
    <mergeCell ref="Z69:AB70"/>
    <mergeCell ref="AC69:AD70"/>
    <mergeCell ref="AE69:AG70"/>
    <mergeCell ref="AE67:AG68"/>
    <mergeCell ref="B65:D66"/>
    <mergeCell ref="E65:G66"/>
    <mergeCell ref="H65:J66"/>
    <mergeCell ref="K65:L66"/>
    <mergeCell ref="M65:N66"/>
    <mergeCell ref="O65:Q66"/>
    <mergeCell ref="R65:S66"/>
    <mergeCell ref="T65:U66"/>
    <mergeCell ref="AQ61:AR61"/>
    <mergeCell ref="F62:I62"/>
    <mergeCell ref="J62:M62"/>
    <mergeCell ref="N62:Q62"/>
    <mergeCell ref="R62:U62"/>
    <mergeCell ref="V62:Y62"/>
    <mergeCell ref="Z62:AC62"/>
    <mergeCell ref="AD62:AG62"/>
    <mergeCell ref="AQ62:AR62"/>
    <mergeCell ref="V65:W66"/>
    <mergeCell ref="X65:Y66"/>
    <mergeCell ref="Z65:AB66"/>
    <mergeCell ref="AC65:AD66"/>
    <mergeCell ref="AE65:AG66"/>
    <mergeCell ref="AQ65:AR65"/>
    <mergeCell ref="AQ66:AR66"/>
    <mergeCell ref="V58:Y58"/>
    <mergeCell ref="Z58:AC58"/>
    <mergeCell ref="AD58:AG58"/>
    <mergeCell ref="B61:E62"/>
    <mergeCell ref="F61:I61"/>
    <mergeCell ref="J61:M61"/>
    <mergeCell ref="N61:Q61"/>
    <mergeCell ref="R61:U61"/>
    <mergeCell ref="V61:Y61"/>
    <mergeCell ref="Z61:AC61"/>
    <mergeCell ref="AD61:AG61"/>
    <mergeCell ref="F60:I60"/>
    <mergeCell ref="J60:M60"/>
    <mergeCell ref="N60:Q60"/>
    <mergeCell ref="R60:U60"/>
    <mergeCell ref="V60:Y60"/>
    <mergeCell ref="Z60:AC60"/>
    <mergeCell ref="F57:I57"/>
    <mergeCell ref="J57:M57"/>
    <mergeCell ref="N57:Q57"/>
    <mergeCell ref="R57:U57"/>
    <mergeCell ref="V57:Y57"/>
    <mergeCell ref="Z57:AC57"/>
    <mergeCell ref="AQ58:AR58"/>
    <mergeCell ref="B59:E60"/>
    <mergeCell ref="F59:I59"/>
    <mergeCell ref="J59:M59"/>
    <mergeCell ref="N59:Q59"/>
    <mergeCell ref="R59:U59"/>
    <mergeCell ref="V59:Y59"/>
    <mergeCell ref="Z59:AC59"/>
    <mergeCell ref="AD59:AG59"/>
    <mergeCell ref="AQ59:AR59"/>
    <mergeCell ref="B57:E58"/>
    <mergeCell ref="AD60:AG60"/>
    <mergeCell ref="AQ60:AR60"/>
    <mergeCell ref="AD57:AG57"/>
    <mergeCell ref="F58:I58"/>
    <mergeCell ref="J58:M58"/>
    <mergeCell ref="N58:Q58"/>
    <mergeCell ref="R58:U58"/>
    <mergeCell ref="W48:X48"/>
    <mergeCell ref="AC48:AD48"/>
    <mergeCell ref="D49:G49"/>
    <mergeCell ref="W49:X49"/>
    <mergeCell ref="AC49:AD49"/>
    <mergeCell ref="B56:E56"/>
    <mergeCell ref="F56:I56"/>
    <mergeCell ref="J56:M56"/>
    <mergeCell ref="N56:Q56"/>
    <mergeCell ref="R56:U56"/>
    <mergeCell ref="B39:C49"/>
    <mergeCell ref="D39:F39"/>
    <mergeCell ref="G39:H39"/>
    <mergeCell ref="L39:M39"/>
    <mergeCell ref="Q39:R39"/>
    <mergeCell ref="W39:X39"/>
    <mergeCell ref="AC39:AD39"/>
    <mergeCell ref="V56:Y56"/>
    <mergeCell ref="Z56:AC56"/>
    <mergeCell ref="AD56:AG56"/>
    <mergeCell ref="W45:X45"/>
    <mergeCell ref="AC45:AD45"/>
    <mergeCell ref="W46:X46"/>
    <mergeCell ref="AC46:AD46"/>
    <mergeCell ref="W47:X47"/>
    <mergeCell ref="AC47:AD47"/>
    <mergeCell ref="D43:G43"/>
    <mergeCell ref="Q43:R43"/>
    <mergeCell ref="W43:X43"/>
    <mergeCell ref="AC43:AD43"/>
    <mergeCell ref="W44:X44"/>
    <mergeCell ref="AC44:AD44"/>
    <mergeCell ref="AJ39:AM39"/>
    <mergeCell ref="D40:G40"/>
    <mergeCell ref="AJ41:AM41"/>
    <mergeCell ref="D42:G42"/>
    <mergeCell ref="L42:M42"/>
    <mergeCell ref="Q42:R42"/>
    <mergeCell ref="W42:X42"/>
    <mergeCell ref="AC42:AD42"/>
    <mergeCell ref="L40:M40"/>
    <mergeCell ref="Q40:R40"/>
    <mergeCell ref="W40:X40"/>
    <mergeCell ref="AC40:AD40"/>
    <mergeCell ref="D41:G41"/>
    <mergeCell ref="L41:M41"/>
    <mergeCell ref="Q41:R41"/>
    <mergeCell ref="W41:X41"/>
    <mergeCell ref="AC41:AD41"/>
    <mergeCell ref="AE37:AG37"/>
    <mergeCell ref="B38:C38"/>
    <mergeCell ref="D38:H38"/>
    <mergeCell ref="I38:M38"/>
    <mergeCell ref="N38:R38"/>
    <mergeCell ref="S38:X38"/>
    <mergeCell ref="Y38:AD38"/>
    <mergeCell ref="AE38:AG38"/>
    <mergeCell ref="AJ38:AM38"/>
    <mergeCell ref="W34:X34"/>
    <mergeCell ref="AC34:AD34"/>
    <mergeCell ref="D35:G35"/>
    <mergeCell ref="W35:X35"/>
    <mergeCell ref="AC35:AD35"/>
    <mergeCell ref="B37:C37"/>
    <mergeCell ref="D37:H37"/>
    <mergeCell ref="I37:M37"/>
    <mergeCell ref="N37:R37"/>
    <mergeCell ref="S37:X37"/>
    <mergeCell ref="B25:C35"/>
    <mergeCell ref="Y37:AD37"/>
    <mergeCell ref="W31:X31"/>
    <mergeCell ref="AC31:AD31"/>
    <mergeCell ref="W32:X32"/>
    <mergeCell ref="AC32:AD32"/>
    <mergeCell ref="W33:X33"/>
    <mergeCell ref="AC33:AD33"/>
    <mergeCell ref="D29:G29"/>
    <mergeCell ref="Q29:R29"/>
    <mergeCell ref="W29:X29"/>
    <mergeCell ref="AC29:AD29"/>
    <mergeCell ref="W30:X30"/>
    <mergeCell ref="AC30:AD30"/>
    <mergeCell ref="D28:G28"/>
    <mergeCell ref="L28:M28"/>
    <mergeCell ref="Q28:R28"/>
    <mergeCell ref="W28:X28"/>
    <mergeCell ref="AC28:AD28"/>
    <mergeCell ref="AC25:AD25"/>
    <mergeCell ref="D26:G26"/>
    <mergeCell ref="L26:M26"/>
    <mergeCell ref="Q26:R26"/>
    <mergeCell ref="W26:X26"/>
    <mergeCell ref="AC26:AD26"/>
    <mergeCell ref="D25:F25"/>
    <mergeCell ref="G25:H25"/>
    <mergeCell ref="L25:M25"/>
    <mergeCell ref="Q25:R25"/>
    <mergeCell ref="W25:X25"/>
    <mergeCell ref="D27:G27"/>
    <mergeCell ref="L27:M27"/>
    <mergeCell ref="Q27:R27"/>
    <mergeCell ref="W27:X27"/>
    <mergeCell ref="AE23:AG23"/>
    <mergeCell ref="B24:C24"/>
    <mergeCell ref="D24:H24"/>
    <mergeCell ref="I24:M24"/>
    <mergeCell ref="N24:R24"/>
    <mergeCell ref="S24:X24"/>
    <mergeCell ref="Y24:AD24"/>
    <mergeCell ref="AE24:AG24"/>
    <mergeCell ref="AC27:AD27"/>
    <mergeCell ref="D19:H19"/>
    <mergeCell ref="I19:M19"/>
    <mergeCell ref="N19:R19"/>
    <mergeCell ref="B23:C23"/>
    <mergeCell ref="D23:H23"/>
    <mergeCell ref="I23:M23"/>
    <mergeCell ref="N23:R23"/>
    <mergeCell ref="AH17:AK17"/>
    <mergeCell ref="AX17:AY17"/>
    <mergeCell ref="B18:H18"/>
    <mergeCell ref="I18:M18"/>
    <mergeCell ref="N18:R18"/>
    <mergeCell ref="S18:W18"/>
    <mergeCell ref="X18:AA18"/>
    <mergeCell ref="AC18:AG18"/>
    <mergeCell ref="AH18:AK18"/>
    <mergeCell ref="B17:H17"/>
    <mergeCell ref="I17:M17"/>
    <mergeCell ref="N17:R17"/>
    <mergeCell ref="S17:W17"/>
    <mergeCell ref="X17:AA17"/>
    <mergeCell ref="AC17:AG17"/>
    <mergeCell ref="S23:X23"/>
    <mergeCell ref="Y23:AD23"/>
    <mergeCell ref="AH15:AK15"/>
    <mergeCell ref="B16:H16"/>
    <mergeCell ref="I16:M16"/>
    <mergeCell ref="N16:R16"/>
    <mergeCell ref="S16:W16"/>
    <mergeCell ref="X16:AA16"/>
    <mergeCell ref="AC16:AG16"/>
    <mergeCell ref="AH16:AK16"/>
    <mergeCell ref="B15:H15"/>
    <mergeCell ref="I15:M15"/>
    <mergeCell ref="N15:R15"/>
    <mergeCell ref="S15:W15"/>
    <mergeCell ref="X15:AA15"/>
    <mergeCell ref="AC15:AG15"/>
    <mergeCell ref="AH13:AK13"/>
    <mergeCell ref="I14:M14"/>
    <mergeCell ref="N14:R14"/>
    <mergeCell ref="S14:W14"/>
    <mergeCell ref="X14:AA14"/>
    <mergeCell ref="AC14:AG14"/>
    <mergeCell ref="AH14:AK14"/>
    <mergeCell ref="Y11:AA11"/>
    <mergeCell ref="AC11:AG12"/>
    <mergeCell ref="Y12:AA12"/>
    <mergeCell ref="I13:M13"/>
    <mergeCell ref="N13:R13"/>
    <mergeCell ref="S13:W13"/>
    <mergeCell ref="X13:AA13"/>
    <mergeCell ref="AC13:AG13"/>
    <mergeCell ref="I7:M7"/>
    <mergeCell ref="I8:M8"/>
    <mergeCell ref="V8:X8"/>
    <mergeCell ref="B11:H12"/>
    <mergeCell ref="I11:M12"/>
    <mergeCell ref="N11:R12"/>
    <mergeCell ref="S11:W12"/>
    <mergeCell ref="A1:AG2"/>
    <mergeCell ref="AA3:AG4"/>
    <mergeCell ref="AA5:AG5"/>
    <mergeCell ref="B6:D6"/>
    <mergeCell ref="F6:L6"/>
    <mergeCell ref="M6:O6"/>
  </mergeCells>
  <phoneticPr fontId="9"/>
  <pageMargins left="0.59055118110236227" right="0.39370078740157483" top="0.39370078740157483" bottom="0.39370078740157483" header="0" footer="0"/>
  <pageSetup paperSize="9" scale="99" orientation="portrait" copies="9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T113"/>
  <sheetViews>
    <sheetView view="pageBreakPreview" zoomScaleNormal="100" zoomScaleSheetLayoutView="100" workbookViewId="0">
      <selection activeCell="AA5" sqref="AA5:AG5"/>
    </sheetView>
  </sheetViews>
  <sheetFormatPr defaultColWidth="2.625" defaultRowHeight="15.6" customHeight="1" x14ac:dyDescent="0.15"/>
  <cols>
    <col min="1" max="1" width="2.625" style="69"/>
    <col min="2" max="29" width="2.625" style="4"/>
    <col min="30" max="30" width="2.625" style="4" customWidth="1"/>
    <col min="31" max="33" width="2.625" style="4"/>
    <col min="34" max="35" width="2.625" style="7"/>
    <col min="36" max="36" width="8.5" style="7" bestFit="1" customWidth="1"/>
    <col min="37" max="37" width="3.5" style="7" bestFit="1" customWidth="1"/>
    <col min="38" max="42" width="2.625" style="7"/>
    <col min="43" max="43" width="3.5" style="7" bestFit="1" customWidth="1"/>
    <col min="44" max="48" width="2.625" style="7"/>
    <col min="49" max="50" width="2.625" style="4"/>
    <col min="51" max="52" width="2.625" style="79"/>
    <col min="53" max="16384" width="2.625" style="4"/>
  </cols>
  <sheetData>
    <row r="1" spans="1:52" ht="15.6" customHeight="1" x14ac:dyDescent="0.15">
      <c r="A1" s="562" t="s">
        <v>6</v>
      </c>
      <c r="B1" s="562"/>
      <c r="C1" s="562"/>
      <c r="D1" s="562"/>
      <c r="E1" s="562"/>
      <c r="F1" s="562"/>
      <c r="G1" s="562"/>
      <c r="H1" s="562"/>
      <c r="I1" s="562"/>
      <c r="J1" s="562"/>
      <c r="K1" s="562"/>
      <c r="L1" s="562"/>
      <c r="M1" s="562"/>
      <c r="N1" s="562"/>
      <c r="O1" s="562"/>
      <c r="P1" s="562"/>
      <c r="Q1" s="562"/>
      <c r="R1" s="562"/>
      <c r="S1" s="562"/>
      <c r="T1" s="562"/>
      <c r="U1" s="562"/>
      <c r="V1" s="562"/>
      <c r="W1" s="562"/>
      <c r="X1" s="562"/>
      <c r="Y1" s="562"/>
      <c r="Z1" s="562"/>
      <c r="AA1" s="562"/>
      <c r="AB1" s="562"/>
      <c r="AC1" s="562"/>
      <c r="AD1" s="562"/>
      <c r="AE1" s="562"/>
      <c r="AF1" s="562"/>
      <c r="AG1" s="562"/>
      <c r="AH1" s="20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</row>
    <row r="2" spans="1:52" ht="15.6" customHeight="1" x14ac:dyDescent="0.15">
      <c r="A2" s="562"/>
      <c r="B2" s="562"/>
      <c r="C2" s="562"/>
      <c r="D2" s="562"/>
      <c r="E2" s="562"/>
      <c r="F2" s="562"/>
      <c r="G2" s="562"/>
      <c r="H2" s="562"/>
      <c r="I2" s="562"/>
      <c r="J2" s="562"/>
      <c r="K2" s="562"/>
      <c r="L2" s="562"/>
      <c r="M2" s="562"/>
      <c r="N2" s="562"/>
      <c r="O2" s="562"/>
      <c r="P2" s="562"/>
      <c r="Q2" s="562"/>
      <c r="R2" s="562"/>
      <c r="S2" s="562"/>
      <c r="T2" s="562"/>
      <c r="U2" s="562"/>
      <c r="V2" s="562"/>
      <c r="W2" s="562"/>
      <c r="X2" s="562"/>
      <c r="Y2" s="562"/>
      <c r="Z2" s="562"/>
      <c r="AA2" s="562"/>
      <c r="AB2" s="562"/>
      <c r="AC2" s="562"/>
      <c r="AD2" s="562"/>
      <c r="AE2" s="562"/>
      <c r="AF2" s="562"/>
      <c r="AG2" s="562"/>
      <c r="AH2" s="20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</row>
    <row r="3" spans="1:52" s="3" customFormat="1" ht="15.6" customHeight="1" x14ac:dyDescent="0.15">
      <c r="A3" s="49"/>
      <c r="B3" s="41"/>
      <c r="C3" s="42"/>
      <c r="D3" s="42"/>
      <c r="E3" s="42"/>
      <c r="F3" s="42"/>
      <c r="G3" s="42"/>
      <c r="H3" s="42"/>
      <c r="I3" s="42"/>
      <c r="J3" s="42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33"/>
      <c r="W3" s="33"/>
      <c r="X3" s="33"/>
      <c r="Y3" s="33"/>
      <c r="Z3" s="33"/>
      <c r="AA3" s="563" t="s">
        <v>107</v>
      </c>
      <c r="AB3" s="563"/>
      <c r="AC3" s="563"/>
      <c r="AD3" s="563"/>
      <c r="AE3" s="563"/>
      <c r="AF3" s="563"/>
      <c r="AG3" s="563"/>
      <c r="AH3" s="21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4"/>
      <c r="AY3" s="79"/>
      <c r="AZ3" s="79"/>
    </row>
    <row r="4" spans="1:52" s="3" customFormat="1" ht="15.6" customHeight="1" x14ac:dyDescent="0.15">
      <c r="A4" s="49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33"/>
      <c r="W4" s="33"/>
      <c r="X4" s="33"/>
      <c r="Y4" s="33"/>
      <c r="Z4" s="33"/>
      <c r="AA4" s="563"/>
      <c r="AB4" s="563"/>
      <c r="AC4" s="563"/>
      <c r="AD4" s="563"/>
      <c r="AE4" s="563"/>
      <c r="AF4" s="563"/>
      <c r="AG4" s="563"/>
      <c r="AH4" s="21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4"/>
      <c r="AY4" s="79"/>
      <c r="AZ4" s="79"/>
    </row>
    <row r="5" spans="1:52" s="3" customFormat="1" ht="15.6" customHeight="1" x14ac:dyDescent="0.15">
      <c r="A5" s="49" t="s">
        <v>66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16"/>
      <c r="Q5" s="16"/>
      <c r="R5" s="16"/>
      <c r="S5" s="16"/>
      <c r="T5" s="16"/>
      <c r="U5" s="16"/>
      <c r="V5" s="21"/>
      <c r="W5" s="21"/>
      <c r="X5" s="21"/>
      <c r="Y5" s="21"/>
      <c r="Z5" s="21"/>
      <c r="AA5" s="891" t="s">
        <v>230</v>
      </c>
      <c r="AB5" s="564"/>
      <c r="AC5" s="564"/>
      <c r="AD5" s="564"/>
      <c r="AE5" s="564"/>
      <c r="AF5" s="564"/>
      <c r="AG5" s="564"/>
      <c r="AH5" s="21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4"/>
      <c r="AY5" s="79"/>
      <c r="AZ5" s="79"/>
    </row>
    <row r="6" spans="1:52" s="3" customFormat="1" ht="15.6" customHeight="1" x14ac:dyDescent="0.15">
      <c r="A6" s="49" t="s">
        <v>7</v>
      </c>
      <c r="B6" s="565" t="s">
        <v>108</v>
      </c>
      <c r="C6" s="565"/>
      <c r="D6" s="565"/>
      <c r="E6" s="437" t="s">
        <v>109</v>
      </c>
      <c r="F6" s="566">
        <v>44958</v>
      </c>
      <c r="G6" s="566"/>
      <c r="H6" s="566"/>
      <c r="I6" s="566"/>
      <c r="J6" s="566"/>
      <c r="K6" s="566"/>
      <c r="L6" s="566"/>
      <c r="M6" s="567" t="s">
        <v>111</v>
      </c>
      <c r="N6" s="567"/>
      <c r="O6" s="567"/>
      <c r="P6" s="16"/>
      <c r="Q6" s="16"/>
      <c r="R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Y6" s="79"/>
      <c r="AZ6" s="79"/>
    </row>
    <row r="7" spans="1:52" s="3" customFormat="1" ht="15.6" customHeight="1" x14ac:dyDescent="0.15">
      <c r="A7" s="49"/>
      <c r="B7" s="49"/>
      <c r="C7" s="49" t="s">
        <v>65</v>
      </c>
      <c r="D7" s="438"/>
      <c r="E7" s="49"/>
      <c r="F7" s="55"/>
      <c r="G7" s="55"/>
      <c r="H7" s="55"/>
      <c r="I7" s="824">
        <v>223949</v>
      </c>
      <c r="J7" s="824"/>
      <c r="K7" s="824"/>
      <c r="L7" s="824"/>
      <c r="M7" s="824"/>
      <c r="N7" s="55" t="s">
        <v>8</v>
      </c>
      <c r="O7" s="55"/>
      <c r="P7" s="468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4"/>
      <c r="AY7" s="79"/>
      <c r="AZ7" s="79"/>
    </row>
    <row r="8" spans="1:52" s="3" customFormat="1" ht="15.6" customHeight="1" x14ac:dyDescent="0.15">
      <c r="A8" s="49"/>
      <c r="B8" s="49"/>
      <c r="C8" s="49" t="s">
        <v>9</v>
      </c>
      <c r="D8" s="49"/>
      <c r="E8" s="49"/>
      <c r="F8" s="55"/>
      <c r="G8" s="55"/>
      <c r="H8" s="55"/>
      <c r="I8" s="825">
        <v>103588</v>
      </c>
      <c r="J8" s="824"/>
      <c r="K8" s="824"/>
      <c r="L8" s="824"/>
      <c r="M8" s="824"/>
      <c r="N8" s="55" t="s">
        <v>10</v>
      </c>
      <c r="O8" s="55"/>
      <c r="P8" s="16" t="s">
        <v>11</v>
      </c>
      <c r="Q8" s="16"/>
      <c r="R8" s="16"/>
      <c r="S8" s="16"/>
      <c r="T8" s="16"/>
      <c r="U8" s="16"/>
      <c r="V8" s="548">
        <f>I7/I8</f>
        <v>2.161920299648608</v>
      </c>
      <c r="W8" s="548"/>
      <c r="X8" s="548"/>
      <c r="Y8" s="16" t="s">
        <v>12</v>
      </c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4"/>
      <c r="AY8" s="79"/>
      <c r="AZ8" s="79"/>
    </row>
    <row r="9" spans="1:52" s="3" customFormat="1" ht="15.6" customHeight="1" x14ac:dyDescent="0.15">
      <c r="A9" s="49"/>
      <c r="B9" s="16"/>
      <c r="C9" s="16"/>
      <c r="D9" s="16"/>
      <c r="E9" s="16"/>
      <c r="F9" s="16"/>
      <c r="G9" s="16"/>
      <c r="H9" s="16"/>
      <c r="I9" s="454"/>
      <c r="J9" s="453"/>
      <c r="K9" s="453"/>
      <c r="L9" s="453"/>
      <c r="M9" s="453"/>
      <c r="N9" s="16"/>
      <c r="O9" s="16"/>
      <c r="P9" s="16"/>
      <c r="Q9" s="16"/>
      <c r="R9" s="16"/>
      <c r="S9" s="16"/>
      <c r="T9" s="16"/>
      <c r="U9" s="16"/>
      <c r="V9" s="451"/>
      <c r="W9" s="451"/>
      <c r="X9" s="451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4"/>
      <c r="AY9" s="79"/>
      <c r="AZ9" s="79"/>
    </row>
    <row r="10" spans="1:52" s="3" customFormat="1" ht="15.6" customHeight="1" x14ac:dyDescent="0.15">
      <c r="A10" s="49" t="s">
        <v>5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4"/>
      <c r="AY10" s="79"/>
      <c r="AZ10" s="79"/>
    </row>
    <row r="11" spans="1:52" s="3" customFormat="1" ht="15.6" customHeight="1" x14ac:dyDescent="0.15">
      <c r="A11" s="49"/>
      <c r="B11" s="549" t="s">
        <v>67</v>
      </c>
      <c r="C11" s="550"/>
      <c r="D11" s="550"/>
      <c r="E11" s="550"/>
      <c r="F11" s="550"/>
      <c r="G11" s="550"/>
      <c r="H11" s="551"/>
      <c r="I11" s="555" t="s">
        <v>130</v>
      </c>
      <c r="J11" s="556"/>
      <c r="K11" s="556"/>
      <c r="L11" s="556"/>
      <c r="M11" s="557"/>
      <c r="N11" s="555" t="s">
        <v>131</v>
      </c>
      <c r="O11" s="556"/>
      <c r="P11" s="556"/>
      <c r="Q11" s="556"/>
      <c r="R11" s="557"/>
      <c r="S11" s="561" t="s">
        <v>13</v>
      </c>
      <c r="T11" s="556"/>
      <c r="U11" s="556"/>
      <c r="V11" s="556"/>
      <c r="W11" s="557"/>
      <c r="X11" s="29"/>
      <c r="Y11" s="581" t="s">
        <v>68</v>
      </c>
      <c r="Z11" s="581"/>
      <c r="AA11" s="581"/>
      <c r="AB11" s="30"/>
      <c r="AC11" s="561" t="s">
        <v>81</v>
      </c>
      <c r="AD11" s="556"/>
      <c r="AE11" s="556"/>
      <c r="AF11" s="556"/>
      <c r="AG11" s="557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4"/>
      <c r="AY11" s="79"/>
      <c r="AZ11" s="79"/>
    </row>
    <row r="12" spans="1:52" s="3" customFormat="1" ht="15.6" customHeight="1" x14ac:dyDescent="0.15">
      <c r="A12" s="49"/>
      <c r="B12" s="552"/>
      <c r="C12" s="553"/>
      <c r="D12" s="553"/>
      <c r="E12" s="553"/>
      <c r="F12" s="553"/>
      <c r="G12" s="553"/>
      <c r="H12" s="554"/>
      <c r="I12" s="558"/>
      <c r="J12" s="559"/>
      <c r="K12" s="559"/>
      <c r="L12" s="559"/>
      <c r="M12" s="560"/>
      <c r="N12" s="558"/>
      <c r="O12" s="559"/>
      <c r="P12" s="559"/>
      <c r="Q12" s="559"/>
      <c r="R12" s="560"/>
      <c r="S12" s="558"/>
      <c r="T12" s="559"/>
      <c r="U12" s="559"/>
      <c r="V12" s="559"/>
      <c r="W12" s="560"/>
      <c r="X12" s="31"/>
      <c r="Y12" s="581" t="s">
        <v>69</v>
      </c>
      <c r="Z12" s="581"/>
      <c r="AA12" s="581"/>
      <c r="AB12" s="32"/>
      <c r="AC12" s="558"/>
      <c r="AD12" s="559"/>
      <c r="AE12" s="559"/>
      <c r="AF12" s="559"/>
      <c r="AG12" s="560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4"/>
      <c r="AY12" s="79"/>
      <c r="AZ12" s="79"/>
    </row>
    <row r="13" spans="1:52" s="3" customFormat="1" ht="15.6" customHeight="1" x14ac:dyDescent="0.15">
      <c r="A13" s="49"/>
      <c r="B13" s="463" t="s">
        <v>126</v>
      </c>
      <c r="C13" s="464"/>
      <c r="D13" s="464"/>
      <c r="E13" s="464"/>
      <c r="F13" s="464"/>
      <c r="G13" s="464"/>
      <c r="H13" s="465"/>
      <c r="I13" s="570">
        <v>2329</v>
      </c>
      <c r="J13" s="571"/>
      <c r="K13" s="571"/>
      <c r="L13" s="571"/>
      <c r="M13" s="572"/>
      <c r="N13" s="570">
        <v>3076</v>
      </c>
      <c r="O13" s="571"/>
      <c r="P13" s="571"/>
      <c r="Q13" s="571"/>
      <c r="R13" s="572"/>
      <c r="S13" s="570">
        <v>28</v>
      </c>
      <c r="T13" s="571"/>
      <c r="U13" s="571"/>
      <c r="V13" s="571"/>
      <c r="W13" s="572"/>
      <c r="X13" s="582">
        <f t="shared" ref="X13:X16" si="0">I13/S13</f>
        <v>83.178571428571431</v>
      </c>
      <c r="Y13" s="583"/>
      <c r="Z13" s="583"/>
      <c r="AA13" s="583"/>
      <c r="AB13" s="34"/>
      <c r="AC13" s="584">
        <v>13.65933373002833</v>
      </c>
      <c r="AD13" s="585"/>
      <c r="AE13" s="585"/>
      <c r="AF13" s="585"/>
      <c r="AG13" s="586"/>
      <c r="AH13" s="568"/>
      <c r="AI13" s="569"/>
      <c r="AJ13" s="569"/>
      <c r="AK13" s="569"/>
      <c r="AL13" s="16"/>
      <c r="AM13" s="18"/>
      <c r="AN13" s="16"/>
      <c r="AO13" s="16"/>
      <c r="AP13" s="16"/>
      <c r="AQ13" s="16"/>
      <c r="AR13" s="16"/>
      <c r="AS13" s="16"/>
      <c r="AT13" s="16"/>
      <c r="AU13" s="16"/>
      <c r="AV13" s="14"/>
      <c r="AY13" s="79"/>
      <c r="AZ13" s="79"/>
    </row>
    <row r="14" spans="1:52" s="3" customFormat="1" ht="15.6" customHeight="1" x14ac:dyDescent="0.15">
      <c r="A14" s="49"/>
      <c r="B14" s="463" t="s">
        <v>129</v>
      </c>
      <c r="C14" s="464"/>
      <c r="D14" s="464"/>
      <c r="E14" s="464"/>
      <c r="F14" s="464"/>
      <c r="G14" s="464"/>
      <c r="H14" s="465"/>
      <c r="I14" s="570">
        <v>2409</v>
      </c>
      <c r="J14" s="571"/>
      <c r="K14" s="571"/>
      <c r="L14" s="571"/>
      <c r="M14" s="572"/>
      <c r="N14" s="570">
        <v>3167</v>
      </c>
      <c r="O14" s="571"/>
      <c r="P14" s="571"/>
      <c r="Q14" s="571"/>
      <c r="R14" s="572"/>
      <c r="S14" s="573">
        <v>28</v>
      </c>
      <c r="T14" s="574"/>
      <c r="U14" s="574"/>
      <c r="V14" s="574"/>
      <c r="W14" s="575"/>
      <c r="X14" s="576">
        <f>I14/S14</f>
        <v>86.035714285714292</v>
      </c>
      <c r="Y14" s="577"/>
      <c r="Z14" s="577"/>
      <c r="AA14" s="577"/>
      <c r="AB14" s="23"/>
      <c r="AC14" s="578">
        <v>14.09717121808996</v>
      </c>
      <c r="AD14" s="579"/>
      <c r="AE14" s="579"/>
      <c r="AF14" s="579"/>
      <c r="AG14" s="580"/>
      <c r="AH14" s="568"/>
      <c r="AI14" s="569"/>
      <c r="AJ14" s="569"/>
      <c r="AK14" s="569"/>
      <c r="AL14" s="16"/>
      <c r="AM14" s="18"/>
      <c r="AN14" s="16"/>
      <c r="AO14" s="16"/>
      <c r="AP14" s="16"/>
      <c r="AQ14" s="16"/>
      <c r="AR14" s="16"/>
      <c r="AS14" s="16"/>
      <c r="AT14" s="16"/>
      <c r="AU14" s="16"/>
      <c r="AV14" s="14"/>
      <c r="AY14" s="79"/>
      <c r="AZ14" s="79"/>
    </row>
    <row r="15" spans="1:52" s="3" customFormat="1" ht="15.6" customHeight="1" x14ac:dyDescent="0.15">
      <c r="A15" s="49"/>
      <c r="B15" s="589" t="s">
        <v>144</v>
      </c>
      <c r="C15" s="589"/>
      <c r="D15" s="589"/>
      <c r="E15" s="589"/>
      <c r="F15" s="589"/>
      <c r="G15" s="589"/>
      <c r="H15" s="589"/>
      <c r="I15" s="570">
        <v>2478</v>
      </c>
      <c r="J15" s="571"/>
      <c r="K15" s="571"/>
      <c r="L15" s="571"/>
      <c r="M15" s="572"/>
      <c r="N15" s="570">
        <v>3222</v>
      </c>
      <c r="O15" s="571"/>
      <c r="P15" s="571"/>
      <c r="Q15" s="571"/>
      <c r="R15" s="572"/>
      <c r="S15" s="570">
        <v>29</v>
      </c>
      <c r="T15" s="571"/>
      <c r="U15" s="571"/>
      <c r="V15" s="571"/>
      <c r="W15" s="572"/>
      <c r="X15" s="576">
        <f t="shared" si="0"/>
        <v>85.448275862068968</v>
      </c>
      <c r="Y15" s="577"/>
      <c r="Z15" s="577"/>
      <c r="AA15" s="577"/>
      <c r="AB15" s="23"/>
      <c r="AC15" s="578">
        <v>14.375008365344719</v>
      </c>
      <c r="AD15" s="579"/>
      <c r="AE15" s="579"/>
      <c r="AF15" s="579"/>
      <c r="AG15" s="580"/>
      <c r="AH15" s="587"/>
      <c r="AI15" s="588"/>
      <c r="AJ15" s="588"/>
      <c r="AK15" s="588"/>
      <c r="AL15" s="14"/>
      <c r="AM15" s="18"/>
      <c r="AN15" s="14"/>
      <c r="AO15" s="16"/>
      <c r="AP15" s="16"/>
      <c r="AQ15" s="16"/>
      <c r="AR15" s="16"/>
      <c r="AS15" s="16"/>
      <c r="AT15" s="16"/>
      <c r="AU15" s="16"/>
      <c r="AV15" s="14"/>
      <c r="AY15" s="79"/>
      <c r="AZ15" s="79"/>
    </row>
    <row r="16" spans="1:52" s="3" customFormat="1" ht="15.6" customHeight="1" x14ac:dyDescent="0.15">
      <c r="A16" s="49"/>
      <c r="B16" s="589" t="s">
        <v>148</v>
      </c>
      <c r="C16" s="589"/>
      <c r="D16" s="589"/>
      <c r="E16" s="589"/>
      <c r="F16" s="589"/>
      <c r="G16" s="589"/>
      <c r="H16" s="589"/>
      <c r="I16" s="570">
        <v>2523</v>
      </c>
      <c r="J16" s="571"/>
      <c r="K16" s="571"/>
      <c r="L16" s="571"/>
      <c r="M16" s="572"/>
      <c r="N16" s="570">
        <v>3258</v>
      </c>
      <c r="O16" s="571"/>
      <c r="P16" s="571"/>
      <c r="Q16" s="571"/>
      <c r="R16" s="572"/>
      <c r="S16" s="570">
        <v>30</v>
      </c>
      <c r="T16" s="571"/>
      <c r="U16" s="571"/>
      <c r="V16" s="571"/>
      <c r="W16" s="572"/>
      <c r="X16" s="576">
        <f t="shared" si="0"/>
        <v>84.1</v>
      </c>
      <c r="Y16" s="577"/>
      <c r="Z16" s="577"/>
      <c r="AA16" s="577"/>
      <c r="AB16" s="23"/>
      <c r="AC16" s="578">
        <v>14.560112977181111</v>
      </c>
      <c r="AD16" s="579"/>
      <c r="AE16" s="579"/>
      <c r="AF16" s="579"/>
      <c r="AG16" s="580"/>
      <c r="AH16" s="587"/>
      <c r="AI16" s="588"/>
      <c r="AJ16" s="588"/>
      <c r="AK16" s="588"/>
      <c r="AL16" s="14"/>
      <c r="AM16" s="18"/>
      <c r="AN16" s="14"/>
      <c r="AO16" s="14"/>
      <c r="AP16" s="14"/>
      <c r="AQ16" s="14"/>
      <c r="AR16" s="14"/>
      <c r="AS16" s="14"/>
      <c r="AT16" s="14"/>
      <c r="AU16" s="14"/>
      <c r="AV16" s="14"/>
      <c r="AY16" s="79"/>
      <c r="AZ16" s="79"/>
    </row>
    <row r="17" spans="1:52" s="3" customFormat="1" ht="15.6" customHeight="1" x14ac:dyDescent="0.15">
      <c r="A17" s="49"/>
      <c r="B17" s="604" t="s">
        <v>169</v>
      </c>
      <c r="C17" s="604"/>
      <c r="D17" s="604"/>
      <c r="E17" s="604"/>
      <c r="F17" s="604"/>
      <c r="G17" s="604"/>
      <c r="H17" s="604"/>
      <c r="I17" s="605">
        <v>2564</v>
      </c>
      <c r="J17" s="606"/>
      <c r="K17" s="606"/>
      <c r="L17" s="606"/>
      <c r="M17" s="607"/>
      <c r="N17" s="605">
        <v>3302</v>
      </c>
      <c r="O17" s="606"/>
      <c r="P17" s="606"/>
      <c r="Q17" s="606"/>
      <c r="R17" s="607"/>
      <c r="S17" s="570">
        <v>31</v>
      </c>
      <c r="T17" s="571"/>
      <c r="U17" s="571"/>
      <c r="V17" s="571"/>
      <c r="W17" s="572"/>
      <c r="X17" s="576">
        <f>I17/S17</f>
        <v>82.709677419354833</v>
      </c>
      <c r="Y17" s="577"/>
      <c r="Z17" s="577"/>
      <c r="AA17" s="577"/>
      <c r="AB17" s="23"/>
      <c r="AC17" s="578">
        <v>14.773652608878509</v>
      </c>
      <c r="AD17" s="579"/>
      <c r="AE17" s="579"/>
      <c r="AF17" s="579"/>
      <c r="AG17" s="580"/>
      <c r="AH17" s="587"/>
      <c r="AI17" s="588"/>
      <c r="AJ17" s="588"/>
      <c r="AK17" s="588"/>
      <c r="AL17" s="14"/>
      <c r="AM17" s="14"/>
      <c r="AN17" s="14"/>
      <c r="AO17" s="14"/>
      <c r="AP17" s="14"/>
      <c r="AQ17" s="14"/>
      <c r="AR17" s="14"/>
      <c r="AS17" s="14"/>
      <c r="AT17" s="14"/>
      <c r="AU17" s="39"/>
      <c r="AV17" s="40"/>
      <c r="AX17" s="596"/>
      <c r="AY17" s="596"/>
      <c r="AZ17" s="79"/>
    </row>
    <row r="18" spans="1:52" s="3" customFormat="1" ht="15.6" customHeight="1" x14ac:dyDescent="0.15">
      <c r="A18" s="49"/>
      <c r="B18" s="597" t="s">
        <v>213</v>
      </c>
      <c r="C18" s="597"/>
      <c r="D18" s="597"/>
      <c r="E18" s="597"/>
      <c r="F18" s="597"/>
      <c r="G18" s="597"/>
      <c r="H18" s="597"/>
      <c r="I18" s="598">
        <f>2561+4</f>
        <v>2565</v>
      </c>
      <c r="J18" s="599"/>
      <c r="K18" s="599"/>
      <c r="L18" s="599"/>
      <c r="M18" s="600"/>
      <c r="N18" s="598">
        <f>3239+4</f>
        <v>3243</v>
      </c>
      <c r="O18" s="599"/>
      <c r="P18" s="599"/>
      <c r="Q18" s="599"/>
      <c r="R18" s="600"/>
      <c r="S18" s="570">
        <v>31</v>
      </c>
      <c r="T18" s="571"/>
      <c r="U18" s="571"/>
      <c r="V18" s="571"/>
      <c r="W18" s="572"/>
      <c r="X18" s="576">
        <f>I18/S18</f>
        <v>82.741935483870961</v>
      </c>
      <c r="Y18" s="577"/>
      <c r="Z18" s="577"/>
      <c r="AA18" s="577"/>
      <c r="AB18" s="23"/>
      <c r="AC18" s="601">
        <v>14.480975579261349</v>
      </c>
      <c r="AD18" s="602"/>
      <c r="AE18" s="602"/>
      <c r="AF18" s="602"/>
      <c r="AG18" s="603"/>
      <c r="AH18" s="883"/>
      <c r="AI18" s="884"/>
      <c r="AJ18" s="884"/>
      <c r="AK18" s="884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X18" s="449"/>
      <c r="AY18" s="449"/>
      <c r="AZ18" s="79"/>
    </row>
    <row r="19" spans="1:52" s="1" customFormat="1" ht="15.6" customHeight="1" x14ac:dyDescent="0.15">
      <c r="A19" s="49"/>
      <c r="B19" s="468"/>
      <c r="C19" s="16"/>
      <c r="D19" s="590" t="s">
        <v>79</v>
      </c>
      <c r="E19" s="590"/>
      <c r="F19" s="590"/>
      <c r="G19" s="590"/>
      <c r="H19" s="590"/>
      <c r="I19" s="591">
        <v>96</v>
      </c>
      <c r="J19" s="592"/>
      <c r="K19" s="592"/>
      <c r="L19" s="592"/>
      <c r="M19" s="593"/>
      <c r="N19" s="594">
        <v>183</v>
      </c>
      <c r="O19" s="594"/>
      <c r="P19" s="594"/>
      <c r="Q19" s="594"/>
      <c r="R19" s="594"/>
      <c r="S19" s="468"/>
      <c r="T19" s="18"/>
      <c r="U19" s="16"/>
      <c r="V19" s="16"/>
      <c r="W19" s="16"/>
      <c r="X19" s="16"/>
      <c r="Y19" s="16"/>
      <c r="Z19" s="16"/>
      <c r="AA19" s="16"/>
      <c r="AB19" s="450"/>
      <c r="AC19" s="450"/>
      <c r="AD19" s="450"/>
      <c r="AE19" s="450"/>
      <c r="AF19" s="16"/>
      <c r="AG19" s="16"/>
      <c r="AH19" s="16"/>
      <c r="AI19" s="71"/>
      <c r="AJ19" s="16"/>
      <c r="AK19" s="16"/>
      <c r="AL19" s="16"/>
      <c r="AM19" s="16"/>
      <c r="AN19" s="16"/>
      <c r="AO19" s="16"/>
      <c r="AP19" s="13"/>
      <c r="AQ19" s="13"/>
      <c r="AR19" s="13"/>
      <c r="AS19" s="13"/>
      <c r="AT19" s="13"/>
      <c r="AU19" s="13"/>
      <c r="AV19" s="13"/>
      <c r="AY19" s="439"/>
      <c r="AZ19" s="439"/>
    </row>
    <row r="20" spans="1:52" s="1" customFormat="1" ht="15.6" customHeight="1" x14ac:dyDescent="0.15">
      <c r="A20" s="49"/>
      <c r="B20" s="468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545"/>
      <c r="AI20" s="545"/>
      <c r="AJ20" s="545"/>
      <c r="AK20" s="545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3"/>
      <c r="AY20" s="439"/>
      <c r="AZ20" s="439"/>
    </row>
    <row r="21" spans="1:52" s="14" customFormat="1" ht="15.6" customHeight="1" x14ac:dyDescent="0.15">
      <c r="A21" s="50" t="s">
        <v>124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24"/>
      <c r="X21" s="24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Y21" s="80"/>
      <c r="AZ21" s="80"/>
    </row>
    <row r="22" spans="1:52" s="14" customFormat="1" ht="15.6" customHeight="1" x14ac:dyDescent="0.15">
      <c r="A22" s="452" t="s">
        <v>171</v>
      </c>
      <c r="B22" s="25"/>
      <c r="C22" s="25"/>
      <c r="D22" s="457"/>
      <c r="E22" s="457"/>
      <c r="F22" s="457"/>
      <c r="G22" s="457"/>
      <c r="H22" s="22"/>
      <c r="I22" s="457"/>
      <c r="J22" s="457"/>
      <c r="K22" s="457"/>
      <c r="L22" s="1" t="s">
        <v>73</v>
      </c>
      <c r="M22" s="22"/>
      <c r="N22" s="457"/>
      <c r="O22" s="457"/>
      <c r="P22" s="457"/>
      <c r="Q22" s="457"/>
      <c r="R22" s="22"/>
      <c r="S22" s="471"/>
      <c r="T22" s="457"/>
      <c r="U22" s="457"/>
      <c r="V22" s="472"/>
      <c r="W22" s="472"/>
      <c r="X22" s="26"/>
      <c r="Y22" s="471"/>
      <c r="Z22" s="471"/>
      <c r="AA22" s="471"/>
      <c r="AB22" s="472"/>
      <c r="AC22" s="457"/>
      <c r="AD22" s="457"/>
      <c r="AE22" s="457"/>
      <c r="AF22" s="457"/>
      <c r="AG22" s="457"/>
      <c r="AH22" s="24"/>
      <c r="AI22" s="24"/>
      <c r="AJ22" s="24"/>
      <c r="AK22" s="24"/>
      <c r="AL22" s="24"/>
      <c r="AM22" s="24"/>
      <c r="AY22" s="80"/>
      <c r="AZ22" s="80"/>
    </row>
    <row r="23" spans="1:52" s="14" customFormat="1" ht="15.6" customHeight="1" x14ac:dyDescent="0.15">
      <c r="A23" s="52"/>
      <c r="B23" s="595" t="s">
        <v>14</v>
      </c>
      <c r="C23" s="595"/>
      <c r="D23" s="595" t="s">
        <v>15</v>
      </c>
      <c r="E23" s="595"/>
      <c r="F23" s="595"/>
      <c r="G23" s="595"/>
      <c r="H23" s="595"/>
      <c r="I23" s="595" t="s">
        <v>16</v>
      </c>
      <c r="J23" s="595"/>
      <c r="K23" s="595"/>
      <c r="L23" s="595"/>
      <c r="M23" s="595"/>
      <c r="N23" s="595" t="s">
        <v>17</v>
      </c>
      <c r="O23" s="595"/>
      <c r="P23" s="595"/>
      <c r="Q23" s="595"/>
      <c r="R23" s="595"/>
      <c r="S23" s="608" t="s">
        <v>18</v>
      </c>
      <c r="T23" s="609"/>
      <c r="U23" s="609"/>
      <c r="V23" s="609"/>
      <c r="W23" s="609"/>
      <c r="X23" s="610"/>
      <c r="Y23" s="608" t="s">
        <v>19</v>
      </c>
      <c r="Z23" s="609"/>
      <c r="AA23" s="609"/>
      <c r="AB23" s="609"/>
      <c r="AC23" s="609"/>
      <c r="AD23" s="610"/>
      <c r="AE23" s="608" t="s">
        <v>72</v>
      </c>
      <c r="AF23" s="609"/>
      <c r="AG23" s="610"/>
      <c r="AH23" s="13"/>
      <c r="AI23" s="13"/>
      <c r="AJ23" s="13"/>
      <c r="AK23" s="13"/>
      <c r="AL23" s="13"/>
      <c r="AM23" s="13"/>
      <c r="AY23" s="80"/>
      <c r="AZ23" s="80"/>
    </row>
    <row r="24" spans="1:52" s="14" customFormat="1" ht="15.6" customHeight="1" x14ac:dyDescent="0.15">
      <c r="A24" s="49"/>
      <c r="B24" s="611" t="s">
        <v>9</v>
      </c>
      <c r="C24" s="611"/>
      <c r="D24" s="612">
        <v>365</v>
      </c>
      <c r="E24" s="612"/>
      <c r="F24" s="612"/>
      <c r="G24" s="612"/>
      <c r="H24" s="612"/>
      <c r="I24" s="612">
        <f>SUM(L25:M28)</f>
        <v>29</v>
      </c>
      <c r="J24" s="612"/>
      <c r="K24" s="612"/>
      <c r="L24" s="612"/>
      <c r="M24" s="612"/>
      <c r="N24" s="612">
        <f>SUM(Q25:R29)</f>
        <v>20</v>
      </c>
      <c r="O24" s="612"/>
      <c r="P24" s="612"/>
      <c r="Q24" s="612"/>
      <c r="R24" s="612"/>
      <c r="S24" s="613">
        <v>327</v>
      </c>
      <c r="T24" s="614"/>
      <c r="U24" s="614"/>
      <c r="V24" s="614"/>
      <c r="W24" s="614"/>
      <c r="X24" s="615"/>
      <c r="Y24" s="613">
        <v>286</v>
      </c>
      <c r="Z24" s="614"/>
      <c r="AA24" s="614"/>
      <c r="AB24" s="614"/>
      <c r="AC24" s="614"/>
      <c r="AD24" s="615"/>
      <c r="AE24" s="613">
        <f>S24-Y24</f>
        <v>41</v>
      </c>
      <c r="AF24" s="614"/>
      <c r="AG24" s="615"/>
      <c r="AH24" s="16"/>
      <c r="AI24" s="13"/>
      <c r="AJ24" s="13"/>
      <c r="AK24" s="16"/>
      <c r="AL24" s="16"/>
      <c r="AM24" s="16"/>
      <c r="AY24" s="80"/>
      <c r="AZ24" s="80"/>
    </row>
    <row r="25" spans="1:52" s="14" customFormat="1" ht="15.6" customHeight="1" x14ac:dyDescent="0.15">
      <c r="A25" s="49"/>
      <c r="B25" s="632" t="s">
        <v>21</v>
      </c>
      <c r="C25" s="633"/>
      <c r="D25" s="624"/>
      <c r="E25" s="625"/>
      <c r="F25" s="625"/>
      <c r="G25" s="626"/>
      <c r="H25" s="627"/>
      <c r="I25" s="57" t="s">
        <v>22</v>
      </c>
      <c r="J25" s="58"/>
      <c r="K25" s="58"/>
      <c r="L25" s="622">
        <v>8</v>
      </c>
      <c r="M25" s="623"/>
      <c r="N25" s="57" t="s">
        <v>62</v>
      </c>
      <c r="O25" s="58"/>
      <c r="P25" s="58"/>
      <c r="Q25" s="622">
        <v>13</v>
      </c>
      <c r="R25" s="623"/>
      <c r="S25" s="447" t="s">
        <v>23</v>
      </c>
      <c r="T25" s="448"/>
      <c r="U25" s="448"/>
      <c r="V25" s="448"/>
      <c r="W25" s="622">
        <v>54</v>
      </c>
      <c r="X25" s="623"/>
      <c r="Y25" s="57" t="s">
        <v>97</v>
      </c>
      <c r="Z25" s="448"/>
      <c r="AA25" s="448"/>
      <c r="AB25" s="448"/>
      <c r="AC25" s="622">
        <v>0</v>
      </c>
      <c r="AD25" s="623"/>
      <c r="AE25" s="460"/>
      <c r="AF25" s="461"/>
      <c r="AG25" s="5"/>
      <c r="AH25" s="16"/>
      <c r="AI25" s="13"/>
      <c r="AJ25" s="13"/>
      <c r="AK25" s="16"/>
      <c r="AL25" s="16"/>
      <c r="AM25" s="16"/>
      <c r="AY25" s="80"/>
      <c r="AZ25" s="80"/>
    </row>
    <row r="26" spans="1:52" s="14" customFormat="1" ht="15.6" customHeight="1" x14ac:dyDescent="0.15">
      <c r="A26" s="49"/>
      <c r="B26" s="634"/>
      <c r="C26" s="635"/>
      <c r="D26" s="620"/>
      <c r="E26" s="621"/>
      <c r="F26" s="621"/>
      <c r="G26" s="621"/>
      <c r="H26" s="59"/>
      <c r="I26" s="60" t="s">
        <v>0</v>
      </c>
      <c r="J26" s="61"/>
      <c r="K26" s="61"/>
      <c r="L26" s="616">
        <v>2</v>
      </c>
      <c r="M26" s="617"/>
      <c r="N26" s="60" t="s">
        <v>3</v>
      </c>
      <c r="O26" s="61"/>
      <c r="P26" s="61"/>
      <c r="Q26" s="616">
        <v>0</v>
      </c>
      <c r="R26" s="617"/>
      <c r="S26" s="445" t="s">
        <v>90</v>
      </c>
      <c r="T26" s="446"/>
      <c r="U26" s="446"/>
      <c r="V26" s="446"/>
      <c r="W26" s="616">
        <v>1</v>
      </c>
      <c r="X26" s="617"/>
      <c r="Y26" s="60" t="s">
        <v>4</v>
      </c>
      <c r="Z26" s="61"/>
      <c r="AA26" s="61"/>
      <c r="AB26" s="61"/>
      <c r="AC26" s="616">
        <v>105</v>
      </c>
      <c r="AD26" s="617"/>
      <c r="AE26" s="458"/>
      <c r="AF26" s="459"/>
      <c r="AG26" s="6"/>
      <c r="AH26" s="16"/>
      <c r="AI26" s="13"/>
      <c r="AJ26" s="13"/>
      <c r="AK26" s="16"/>
      <c r="AL26" s="16"/>
      <c r="AM26" s="16"/>
      <c r="AY26" s="80"/>
      <c r="AZ26" s="80"/>
    </row>
    <row r="27" spans="1:52" s="14" customFormat="1" ht="15.6" customHeight="1" x14ac:dyDescent="0.15">
      <c r="A27" s="49"/>
      <c r="B27" s="634"/>
      <c r="C27" s="635"/>
      <c r="D27" s="620"/>
      <c r="E27" s="621"/>
      <c r="F27" s="621"/>
      <c r="G27" s="621"/>
      <c r="H27" s="59"/>
      <c r="I27" s="60" t="s">
        <v>61</v>
      </c>
      <c r="J27" s="61"/>
      <c r="K27" s="61"/>
      <c r="L27" s="616">
        <v>4</v>
      </c>
      <c r="M27" s="617"/>
      <c r="N27" s="60" t="s">
        <v>0</v>
      </c>
      <c r="O27" s="61"/>
      <c r="P27" s="61"/>
      <c r="Q27" s="616">
        <v>0</v>
      </c>
      <c r="R27" s="617"/>
      <c r="S27" s="445" t="s">
        <v>91</v>
      </c>
      <c r="T27" s="446"/>
      <c r="U27" s="446"/>
      <c r="V27" s="446"/>
      <c r="W27" s="616">
        <v>9</v>
      </c>
      <c r="X27" s="617"/>
      <c r="Y27" s="60" t="s">
        <v>2</v>
      </c>
      <c r="Z27" s="62"/>
      <c r="AA27" s="62"/>
      <c r="AB27" s="62"/>
      <c r="AC27" s="616">
        <v>17</v>
      </c>
      <c r="AD27" s="617"/>
      <c r="AE27" s="458"/>
      <c r="AF27" s="459"/>
      <c r="AG27" s="6"/>
      <c r="AH27" s="16"/>
      <c r="AI27" s="13"/>
      <c r="AJ27" s="13"/>
      <c r="AK27" s="16"/>
      <c r="AL27" s="16"/>
      <c r="AM27" s="16"/>
      <c r="AQ27" s="18"/>
      <c r="AY27" s="80"/>
      <c r="AZ27" s="80"/>
    </row>
    <row r="28" spans="1:52" s="14" customFormat="1" ht="15.6" customHeight="1" x14ac:dyDescent="0.15">
      <c r="A28" s="49"/>
      <c r="B28" s="634"/>
      <c r="C28" s="635"/>
      <c r="D28" s="620"/>
      <c r="E28" s="621"/>
      <c r="F28" s="621"/>
      <c r="G28" s="621"/>
      <c r="H28" s="59"/>
      <c r="I28" s="60" t="s">
        <v>60</v>
      </c>
      <c r="J28" s="61"/>
      <c r="K28" s="61"/>
      <c r="L28" s="616">
        <v>15</v>
      </c>
      <c r="M28" s="617"/>
      <c r="N28" s="60" t="s">
        <v>4</v>
      </c>
      <c r="O28" s="61"/>
      <c r="P28" s="61"/>
      <c r="Q28" s="616">
        <v>0</v>
      </c>
      <c r="R28" s="617"/>
      <c r="S28" s="445" t="s">
        <v>92</v>
      </c>
      <c r="T28" s="446"/>
      <c r="U28" s="446"/>
      <c r="V28" s="446"/>
      <c r="W28" s="616">
        <v>54</v>
      </c>
      <c r="X28" s="617"/>
      <c r="Y28" s="60" t="s">
        <v>98</v>
      </c>
      <c r="Z28" s="61"/>
      <c r="AA28" s="61"/>
      <c r="AB28" s="61"/>
      <c r="AC28" s="616">
        <v>48</v>
      </c>
      <c r="AD28" s="617"/>
      <c r="AE28" s="458"/>
      <c r="AF28" s="459"/>
      <c r="AG28" s="6"/>
      <c r="AH28" s="16"/>
      <c r="AI28" s="13"/>
      <c r="AJ28" s="13"/>
      <c r="AK28" s="16"/>
      <c r="AL28" s="16"/>
      <c r="AM28" s="16"/>
      <c r="AY28" s="80"/>
      <c r="AZ28" s="80"/>
    </row>
    <row r="29" spans="1:52" s="14" customFormat="1" ht="15.6" customHeight="1" x14ac:dyDescent="0.15">
      <c r="A29" s="49"/>
      <c r="B29" s="634"/>
      <c r="C29" s="635"/>
      <c r="D29" s="620"/>
      <c r="E29" s="621"/>
      <c r="F29" s="621"/>
      <c r="G29" s="621"/>
      <c r="H29" s="59"/>
      <c r="I29" s="60"/>
      <c r="J29" s="61"/>
      <c r="K29" s="61"/>
      <c r="L29" s="61"/>
      <c r="M29" s="63"/>
      <c r="N29" s="60" t="s">
        <v>60</v>
      </c>
      <c r="O29" s="61"/>
      <c r="P29" s="61"/>
      <c r="Q29" s="616">
        <v>7</v>
      </c>
      <c r="R29" s="617"/>
      <c r="S29" s="445" t="s">
        <v>94</v>
      </c>
      <c r="T29" s="446"/>
      <c r="U29" s="446"/>
      <c r="V29" s="446"/>
      <c r="W29" s="616">
        <v>16</v>
      </c>
      <c r="X29" s="617"/>
      <c r="Y29" s="60" t="s">
        <v>99</v>
      </c>
      <c r="Z29" s="61"/>
      <c r="AA29" s="61"/>
      <c r="AB29" s="61"/>
      <c r="AC29" s="618">
        <v>3</v>
      </c>
      <c r="AD29" s="619"/>
      <c r="AE29" s="458"/>
      <c r="AF29" s="459"/>
      <c r="AG29" s="6"/>
      <c r="AH29" s="16"/>
      <c r="AI29" s="13"/>
      <c r="AJ29" s="13"/>
      <c r="AK29" s="16"/>
      <c r="AL29" s="16"/>
      <c r="AM29" s="16"/>
      <c r="AY29" s="80"/>
      <c r="AZ29" s="80"/>
    </row>
    <row r="30" spans="1:52" s="14" customFormat="1" ht="15.6" customHeight="1" x14ac:dyDescent="0.15">
      <c r="A30" s="49"/>
      <c r="B30" s="634"/>
      <c r="C30" s="635"/>
      <c r="D30" s="445"/>
      <c r="E30" s="446"/>
      <c r="F30" s="446"/>
      <c r="G30" s="446"/>
      <c r="H30" s="59"/>
      <c r="I30" s="60"/>
      <c r="J30" s="61"/>
      <c r="K30" s="61"/>
      <c r="L30" s="61"/>
      <c r="M30" s="63"/>
      <c r="N30" s="60"/>
      <c r="O30" s="61"/>
      <c r="P30" s="61"/>
      <c r="Q30" s="440"/>
      <c r="R30" s="441"/>
      <c r="S30" s="445" t="s">
        <v>93</v>
      </c>
      <c r="T30" s="446"/>
      <c r="U30" s="446"/>
      <c r="V30" s="446"/>
      <c r="W30" s="616">
        <v>0</v>
      </c>
      <c r="X30" s="617"/>
      <c r="Y30" s="60" t="s">
        <v>100</v>
      </c>
      <c r="Z30" s="61"/>
      <c r="AA30" s="61"/>
      <c r="AB30" s="61"/>
      <c r="AC30" s="618">
        <v>12</v>
      </c>
      <c r="AD30" s="619"/>
      <c r="AE30" s="458"/>
      <c r="AF30" s="459"/>
      <c r="AG30" s="6"/>
      <c r="AH30" s="16"/>
      <c r="AI30" s="13"/>
      <c r="AJ30" s="13"/>
      <c r="AK30" s="16"/>
      <c r="AL30" s="16"/>
      <c r="AM30" s="16"/>
      <c r="AY30" s="80"/>
      <c r="AZ30" s="80"/>
    </row>
    <row r="31" spans="1:52" s="14" customFormat="1" ht="15.6" customHeight="1" x14ac:dyDescent="0.15">
      <c r="A31" s="49"/>
      <c r="B31" s="634"/>
      <c r="C31" s="635"/>
      <c r="D31" s="445"/>
      <c r="E31" s="446"/>
      <c r="F31" s="446"/>
      <c r="G31" s="446"/>
      <c r="H31" s="59"/>
      <c r="I31" s="60"/>
      <c r="J31" s="61"/>
      <c r="K31" s="61"/>
      <c r="L31" s="61"/>
      <c r="M31" s="63"/>
      <c r="N31" s="60"/>
      <c r="O31" s="61"/>
      <c r="P31" s="61"/>
      <c r="Q31" s="440"/>
      <c r="R31" s="441"/>
      <c r="S31" s="445" t="s">
        <v>95</v>
      </c>
      <c r="T31" s="446"/>
      <c r="U31" s="446"/>
      <c r="V31" s="446"/>
      <c r="W31" s="616">
        <v>29</v>
      </c>
      <c r="X31" s="617"/>
      <c r="Y31" s="60" t="s">
        <v>101</v>
      </c>
      <c r="Z31" s="61"/>
      <c r="AA31" s="61"/>
      <c r="AB31" s="61"/>
      <c r="AC31" s="618">
        <v>4</v>
      </c>
      <c r="AD31" s="619"/>
      <c r="AE31" s="458"/>
      <c r="AF31" s="459"/>
      <c r="AG31" s="6"/>
      <c r="AH31" s="16"/>
      <c r="AI31" s="16"/>
      <c r="AJ31" s="16"/>
      <c r="AK31" s="16"/>
      <c r="AL31" s="16"/>
      <c r="AM31" s="16"/>
      <c r="AY31" s="80"/>
      <c r="AZ31" s="80"/>
    </row>
    <row r="32" spans="1:52" s="14" customFormat="1" ht="15.6" customHeight="1" x14ac:dyDescent="0.15">
      <c r="A32" s="49"/>
      <c r="B32" s="634"/>
      <c r="C32" s="635"/>
      <c r="D32" s="445"/>
      <c r="E32" s="446"/>
      <c r="F32" s="446"/>
      <c r="G32" s="446"/>
      <c r="H32" s="59"/>
      <c r="I32" s="60"/>
      <c r="J32" s="61"/>
      <c r="K32" s="61"/>
      <c r="L32" s="61"/>
      <c r="M32" s="63"/>
      <c r="N32" s="60"/>
      <c r="O32" s="61"/>
      <c r="P32" s="61"/>
      <c r="Q32" s="440"/>
      <c r="R32" s="441"/>
      <c r="S32" s="445" t="s">
        <v>96</v>
      </c>
      <c r="T32" s="446"/>
      <c r="U32" s="446"/>
      <c r="V32" s="446"/>
      <c r="W32" s="616">
        <v>1</v>
      </c>
      <c r="X32" s="617"/>
      <c r="Y32" s="60" t="s">
        <v>103</v>
      </c>
      <c r="Z32" s="61"/>
      <c r="AA32" s="61"/>
      <c r="AB32" s="61"/>
      <c r="AC32" s="618">
        <v>22</v>
      </c>
      <c r="AD32" s="619"/>
      <c r="AE32" s="458"/>
      <c r="AF32" s="459"/>
      <c r="AG32" s="6"/>
      <c r="AH32" s="16"/>
      <c r="AI32" s="16"/>
      <c r="AJ32" s="16"/>
      <c r="AK32" s="16"/>
      <c r="AL32" s="16"/>
      <c r="AM32" s="16"/>
      <c r="AY32" s="80"/>
      <c r="AZ32" s="80"/>
    </row>
    <row r="33" spans="1:72" s="14" customFormat="1" ht="15.6" customHeight="1" x14ac:dyDescent="0.15">
      <c r="A33" s="49"/>
      <c r="B33" s="634"/>
      <c r="C33" s="635"/>
      <c r="D33" s="445"/>
      <c r="E33" s="446"/>
      <c r="F33" s="446"/>
      <c r="G33" s="446"/>
      <c r="H33" s="59"/>
      <c r="I33" s="60"/>
      <c r="J33" s="61"/>
      <c r="K33" s="61"/>
      <c r="L33" s="61"/>
      <c r="M33" s="63"/>
      <c r="N33" s="60"/>
      <c r="O33" s="61"/>
      <c r="P33" s="61"/>
      <c r="Q33" s="440"/>
      <c r="R33" s="441"/>
      <c r="S33" s="445" t="s">
        <v>80</v>
      </c>
      <c r="T33" s="446"/>
      <c r="U33" s="446"/>
      <c r="V33" s="446"/>
      <c r="W33" s="616">
        <v>112</v>
      </c>
      <c r="X33" s="617"/>
      <c r="Y33" s="60" t="s">
        <v>104</v>
      </c>
      <c r="Z33" s="61"/>
      <c r="AA33" s="61"/>
      <c r="AB33" s="61"/>
      <c r="AC33" s="618">
        <v>1</v>
      </c>
      <c r="AD33" s="619"/>
      <c r="AE33" s="458"/>
      <c r="AF33" s="459"/>
      <c r="AG33" s="6"/>
      <c r="AH33" s="16"/>
      <c r="AI33" s="16"/>
      <c r="AJ33" s="16"/>
      <c r="AK33" s="16"/>
      <c r="AL33" s="16"/>
      <c r="AM33" s="16"/>
      <c r="AY33" s="80"/>
      <c r="AZ33" s="80"/>
    </row>
    <row r="34" spans="1:72" s="3" customFormat="1" ht="15.6" customHeight="1" x14ac:dyDescent="0.15">
      <c r="A34" s="49"/>
      <c r="B34" s="634"/>
      <c r="C34" s="635"/>
      <c r="D34" s="445"/>
      <c r="E34" s="446"/>
      <c r="F34" s="446"/>
      <c r="G34" s="446"/>
      <c r="H34" s="59"/>
      <c r="I34" s="60"/>
      <c r="J34" s="61"/>
      <c r="K34" s="61"/>
      <c r="L34" s="61"/>
      <c r="M34" s="63"/>
      <c r="N34" s="60"/>
      <c r="O34" s="61"/>
      <c r="P34" s="61"/>
      <c r="Q34" s="440"/>
      <c r="R34" s="441"/>
      <c r="S34" s="445" t="s">
        <v>102</v>
      </c>
      <c r="T34" s="446"/>
      <c r="U34" s="446"/>
      <c r="V34" s="446"/>
      <c r="W34" s="616">
        <v>3</v>
      </c>
      <c r="X34" s="617"/>
      <c r="Y34" s="60" t="s">
        <v>105</v>
      </c>
      <c r="Z34" s="61"/>
      <c r="AA34" s="61"/>
      <c r="AB34" s="61"/>
      <c r="AC34" s="618">
        <v>45</v>
      </c>
      <c r="AD34" s="619"/>
      <c r="AE34" s="458"/>
      <c r="AF34" s="459"/>
      <c r="AG34" s="6"/>
      <c r="AH34" s="16"/>
      <c r="AI34" s="16"/>
      <c r="AJ34" s="16"/>
      <c r="AK34" s="16"/>
      <c r="AL34" s="16"/>
      <c r="AM34" s="16"/>
      <c r="AN34" s="14"/>
      <c r="AO34" s="14"/>
      <c r="AP34" s="14"/>
      <c r="AQ34" s="14"/>
      <c r="AR34" s="14"/>
      <c r="AS34" s="14"/>
      <c r="AT34" s="14"/>
      <c r="AU34" s="14"/>
      <c r="AV34" s="14"/>
      <c r="AY34" s="79"/>
      <c r="AZ34" s="79"/>
    </row>
    <row r="35" spans="1:72" s="2" customFormat="1" ht="15.6" customHeight="1" x14ac:dyDescent="0.15">
      <c r="A35" s="49"/>
      <c r="B35" s="636"/>
      <c r="C35" s="637"/>
      <c r="D35" s="628"/>
      <c r="E35" s="629"/>
      <c r="F35" s="629"/>
      <c r="G35" s="629"/>
      <c r="H35" s="64"/>
      <c r="I35" s="65"/>
      <c r="J35" s="66"/>
      <c r="K35" s="66"/>
      <c r="L35" s="66"/>
      <c r="M35" s="67"/>
      <c r="N35" s="65"/>
      <c r="O35" s="66"/>
      <c r="P35" s="66"/>
      <c r="Q35" s="66"/>
      <c r="R35" s="67"/>
      <c r="S35" s="442" t="s">
        <v>24</v>
      </c>
      <c r="T35" s="443"/>
      <c r="U35" s="443"/>
      <c r="V35" s="443"/>
      <c r="W35" s="630">
        <v>48</v>
      </c>
      <c r="X35" s="631"/>
      <c r="Y35" s="65" t="s">
        <v>24</v>
      </c>
      <c r="Z35" s="68"/>
      <c r="AA35" s="66"/>
      <c r="AB35" s="66"/>
      <c r="AC35" s="630">
        <v>29</v>
      </c>
      <c r="AD35" s="631"/>
      <c r="AE35" s="456"/>
      <c r="AF35" s="457"/>
      <c r="AG35" s="8"/>
      <c r="AH35" s="16"/>
      <c r="AI35" s="16"/>
      <c r="AJ35" s="16"/>
      <c r="AK35" s="16"/>
      <c r="AL35" s="16"/>
      <c r="AM35" s="16"/>
      <c r="AN35" s="537"/>
      <c r="AO35" s="537"/>
      <c r="AP35" s="537"/>
      <c r="AQ35" s="537"/>
      <c r="AR35" s="537"/>
      <c r="AS35" s="537"/>
      <c r="AT35" s="537"/>
      <c r="AU35" s="537"/>
      <c r="AV35" s="537"/>
      <c r="AY35" s="81"/>
      <c r="AZ35" s="81"/>
    </row>
    <row r="36" spans="1:72" s="14" customFormat="1" ht="15.6" customHeight="1" x14ac:dyDescent="0.15">
      <c r="A36" s="452" t="s">
        <v>217</v>
      </c>
      <c r="B36" s="227"/>
      <c r="C36" s="25"/>
      <c r="D36" s="457"/>
      <c r="E36" s="457"/>
      <c r="F36" s="457"/>
      <c r="G36" s="457"/>
      <c r="H36" s="48"/>
      <c r="I36" s="457"/>
      <c r="J36" s="457"/>
      <c r="K36" s="457"/>
      <c r="L36" s="457"/>
      <c r="M36" s="48"/>
      <c r="N36" s="457"/>
      <c r="O36" s="457"/>
      <c r="P36" s="457"/>
      <c r="Q36" s="457"/>
      <c r="R36" s="22"/>
      <c r="S36" s="471"/>
      <c r="T36" s="457"/>
      <c r="U36" s="457"/>
      <c r="V36" s="457"/>
      <c r="W36" s="472"/>
      <c r="X36" s="472"/>
      <c r="Y36" s="26"/>
      <c r="Z36" s="26"/>
      <c r="AA36" s="471"/>
      <c r="AB36" s="471"/>
      <c r="AC36" s="471"/>
      <c r="AD36" s="472"/>
      <c r="AE36" s="457"/>
      <c r="AF36" s="457"/>
      <c r="AG36" s="457"/>
      <c r="AH36" s="16"/>
      <c r="AI36" s="16"/>
      <c r="AJ36" s="16"/>
      <c r="AK36" s="16"/>
      <c r="AL36" s="18"/>
      <c r="AM36" s="16"/>
      <c r="AN36" s="17"/>
      <c r="AO36" s="10"/>
      <c r="AP36" s="10"/>
      <c r="AQ36" s="74"/>
      <c r="AR36" s="9"/>
      <c r="AS36" s="9"/>
      <c r="AT36" s="9"/>
      <c r="AU36" s="10"/>
      <c r="AV36" s="9"/>
      <c r="AW36" s="9"/>
      <c r="AX36" s="9"/>
      <c r="AY36" s="82"/>
      <c r="AZ36" s="82"/>
      <c r="BA36" s="9"/>
      <c r="BB36" s="9"/>
      <c r="BC36" s="9"/>
      <c r="BD36" s="9"/>
      <c r="BE36" s="10"/>
      <c r="BF36" s="9"/>
      <c r="BG36" s="9"/>
      <c r="BH36" s="9"/>
      <c r="BI36" s="11"/>
      <c r="BJ36" s="11"/>
      <c r="BK36" s="12"/>
      <c r="BL36" s="9"/>
      <c r="BM36" s="9"/>
      <c r="BN36" s="9"/>
      <c r="BO36" s="11"/>
      <c r="BP36" s="9"/>
      <c r="BQ36" s="9"/>
      <c r="BR36" s="9"/>
      <c r="BS36" s="9"/>
      <c r="BT36" s="459"/>
    </row>
    <row r="37" spans="1:72" s="14" customFormat="1" ht="15.6" customHeight="1" x14ac:dyDescent="0.15">
      <c r="A37" s="52"/>
      <c r="B37" s="595" t="s">
        <v>14</v>
      </c>
      <c r="C37" s="595"/>
      <c r="D37" s="595" t="s">
        <v>15</v>
      </c>
      <c r="E37" s="595"/>
      <c r="F37" s="595"/>
      <c r="G37" s="595"/>
      <c r="H37" s="595"/>
      <c r="I37" s="595" t="s">
        <v>16</v>
      </c>
      <c r="J37" s="595"/>
      <c r="K37" s="595"/>
      <c r="L37" s="595"/>
      <c r="M37" s="595"/>
      <c r="N37" s="595" t="s">
        <v>17</v>
      </c>
      <c r="O37" s="595"/>
      <c r="P37" s="595"/>
      <c r="Q37" s="595"/>
      <c r="R37" s="595"/>
      <c r="S37" s="608" t="s">
        <v>18</v>
      </c>
      <c r="T37" s="609"/>
      <c r="U37" s="609"/>
      <c r="V37" s="609"/>
      <c r="W37" s="609"/>
      <c r="X37" s="610"/>
      <c r="Y37" s="608" t="s">
        <v>19</v>
      </c>
      <c r="Z37" s="609"/>
      <c r="AA37" s="609"/>
      <c r="AB37" s="609"/>
      <c r="AC37" s="609"/>
      <c r="AD37" s="610"/>
      <c r="AE37" s="608" t="s">
        <v>72</v>
      </c>
      <c r="AF37" s="609"/>
      <c r="AG37" s="610"/>
      <c r="AH37" s="16"/>
      <c r="AI37" s="16"/>
      <c r="AJ37" s="16"/>
      <c r="AK37" s="16"/>
      <c r="AL37" s="16"/>
      <c r="AM37" s="16"/>
      <c r="AY37" s="80"/>
      <c r="AZ37" s="80"/>
    </row>
    <row r="38" spans="1:72" s="3" customFormat="1" ht="15.6" customHeight="1" x14ac:dyDescent="0.15">
      <c r="A38" s="49"/>
      <c r="B38" s="611" t="s">
        <v>9</v>
      </c>
      <c r="C38" s="611"/>
      <c r="D38" s="612">
        <f>25+35+25+24+27+31+35+24+25+32</f>
        <v>283</v>
      </c>
      <c r="E38" s="612"/>
      <c r="F38" s="612"/>
      <c r="G38" s="612"/>
      <c r="H38" s="612"/>
      <c r="I38" s="612">
        <f>3+4+5+0+0+0+1+3+0+1</f>
        <v>17</v>
      </c>
      <c r="J38" s="612"/>
      <c r="K38" s="612"/>
      <c r="L38" s="612"/>
      <c r="M38" s="612"/>
      <c r="N38" s="612">
        <f>1+0+4+1+3+3+5+4+1+0</f>
        <v>22</v>
      </c>
      <c r="O38" s="612"/>
      <c r="P38" s="612"/>
      <c r="Q38" s="612"/>
      <c r="R38" s="612"/>
      <c r="S38" s="638">
        <f>22+28+20+24+23+26+20+30+24+26</f>
        <v>243</v>
      </c>
      <c r="T38" s="639"/>
      <c r="U38" s="639"/>
      <c r="V38" s="639"/>
      <c r="W38" s="639"/>
      <c r="X38" s="640"/>
      <c r="Y38" s="638">
        <f>22+22+27+26+21+36+17+23+22+26</f>
        <v>242</v>
      </c>
      <c r="Z38" s="639"/>
      <c r="AA38" s="639"/>
      <c r="AB38" s="639"/>
      <c r="AC38" s="639"/>
      <c r="AD38" s="640"/>
      <c r="AE38" s="613">
        <f>S38-Y38</f>
        <v>1</v>
      </c>
      <c r="AF38" s="614"/>
      <c r="AG38" s="615"/>
      <c r="AH38" s="537"/>
      <c r="AI38" s="537"/>
      <c r="AJ38" s="888"/>
      <c r="AK38" s="888"/>
      <c r="AL38" s="888"/>
      <c r="AM38" s="888"/>
      <c r="AN38" s="18"/>
      <c r="AO38" s="14"/>
      <c r="AP38" s="14"/>
      <c r="AQ38" s="14"/>
      <c r="AR38" s="14"/>
      <c r="AS38" s="14"/>
      <c r="AT38" s="14"/>
      <c r="AU38" s="14"/>
      <c r="AV38" s="14"/>
      <c r="AY38" s="79"/>
      <c r="AZ38" s="79"/>
    </row>
    <row r="39" spans="1:72" s="3" customFormat="1" ht="15.6" customHeight="1" x14ac:dyDescent="0.15">
      <c r="A39" s="49"/>
      <c r="B39" s="632" t="s">
        <v>202</v>
      </c>
      <c r="C39" s="633"/>
      <c r="D39" s="624"/>
      <c r="E39" s="625"/>
      <c r="F39" s="625"/>
      <c r="G39" s="626"/>
      <c r="H39" s="627"/>
      <c r="I39" s="57" t="s">
        <v>22</v>
      </c>
      <c r="J39" s="58"/>
      <c r="K39" s="58"/>
      <c r="L39" s="622">
        <f>1+1+1</f>
        <v>3</v>
      </c>
      <c r="M39" s="623"/>
      <c r="N39" s="57" t="s">
        <v>62</v>
      </c>
      <c r="O39" s="58"/>
      <c r="P39" s="58"/>
      <c r="Q39" s="622">
        <f>1+2+0+0+3+3+1+1+1</f>
        <v>12</v>
      </c>
      <c r="R39" s="623"/>
      <c r="S39" s="447" t="s">
        <v>23</v>
      </c>
      <c r="T39" s="448"/>
      <c r="U39" s="448"/>
      <c r="V39" s="448"/>
      <c r="W39" s="622">
        <f>2+5+5+2+0+1+2+0+3+4</f>
        <v>24</v>
      </c>
      <c r="X39" s="623"/>
      <c r="Y39" s="57" t="s">
        <v>97</v>
      </c>
      <c r="Z39" s="448"/>
      <c r="AA39" s="448"/>
      <c r="AB39" s="448"/>
      <c r="AC39" s="622">
        <f>0+0+0+0+0+0+0+0+0+0</f>
        <v>0</v>
      </c>
      <c r="AD39" s="623"/>
      <c r="AE39" s="460"/>
      <c r="AF39" s="461"/>
      <c r="AG39" s="5"/>
      <c r="AH39" s="16"/>
      <c r="AI39" s="16"/>
      <c r="AJ39" s="643"/>
      <c r="AK39" s="643"/>
      <c r="AL39" s="643"/>
      <c r="AM39" s="643"/>
      <c r="AN39" s="14"/>
      <c r="AO39" s="14"/>
      <c r="AP39" s="14"/>
      <c r="AQ39" s="14"/>
      <c r="AR39" s="14"/>
      <c r="AS39" s="14"/>
      <c r="AT39" s="14"/>
      <c r="AU39" s="14"/>
      <c r="AV39" s="14"/>
      <c r="AY39" s="79"/>
      <c r="AZ39" s="79"/>
    </row>
    <row r="40" spans="1:72" s="3" customFormat="1" ht="15.6" customHeight="1" x14ac:dyDescent="0.15">
      <c r="A40" s="49"/>
      <c r="B40" s="634"/>
      <c r="C40" s="635"/>
      <c r="D40" s="620"/>
      <c r="E40" s="621"/>
      <c r="F40" s="621"/>
      <c r="G40" s="621"/>
      <c r="H40" s="59"/>
      <c r="I40" s="60" t="s">
        <v>0</v>
      </c>
      <c r="J40" s="61"/>
      <c r="K40" s="61"/>
      <c r="L40" s="616">
        <f>1+0+1</f>
        <v>2</v>
      </c>
      <c r="M40" s="617"/>
      <c r="N40" s="60" t="s">
        <v>3</v>
      </c>
      <c r="O40" s="61"/>
      <c r="P40" s="61"/>
      <c r="Q40" s="616">
        <f>0+0+0+0+0+0+3+1+0</f>
        <v>4</v>
      </c>
      <c r="R40" s="617"/>
      <c r="S40" s="445" t="s">
        <v>90</v>
      </c>
      <c r="T40" s="446"/>
      <c r="U40" s="446"/>
      <c r="V40" s="446"/>
      <c r="W40" s="616">
        <f>0+0+0+0+0+0+0+0+0+0</f>
        <v>0</v>
      </c>
      <c r="X40" s="617"/>
      <c r="Y40" s="60" t="s">
        <v>4</v>
      </c>
      <c r="Z40" s="61"/>
      <c r="AA40" s="61"/>
      <c r="AB40" s="61"/>
      <c r="AC40" s="616">
        <f>12+7+12+10+9+10+7+12+12+15</f>
        <v>106</v>
      </c>
      <c r="AD40" s="617"/>
      <c r="AE40" s="458"/>
      <c r="AF40" s="459"/>
      <c r="AG40" s="6"/>
      <c r="AH40" s="16"/>
      <c r="AI40" s="16"/>
      <c r="AJ40" s="16"/>
      <c r="AK40" s="16"/>
      <c r="AL40" s="16"/>
      <c r="AM40" s="16"/>
      <c r="AN40" s="14"/>
      <c r="AO40" s="14"/>
      <c r="AP40" s="14"/>
      <c r="AQ40" s="14"/>
      <c r="AR40" s="14"/>
      <c r="AS40" s="14"/>
      <c r="AT40" s="14"/>
      <c r="AU40" s="14"/>
      <c r="AV40" s="14"/>
      <c r="AY40" s="79"/>
      <c r="AZ40" s="79"/>
    </row>
    <row r="41" spans="1:72" s="3" customFormat="1" ht="15.6" customHeight="1" x14ac:dyDescent="0.15">
      <c r="A41" s="49"/>
      <c r="B41" s="634"/>
      <c r="C41" s="635"/>
      <c r="D41" s="620"/>
      <c r="E41" s="621"/>
      <c r="F41" s="621"/>
      <c r="G41" s="621"/>
      <c r="H41" s="59"/>
      <c r="I41" s="60" t="s">
        <v>61</v>
      </c>
      <c r="J41" s="61"/>
      <c r="K41" s="61"/>
      <c r="L41" s="616">
        <f>0+0+1</f>
        <v>1</v>
      </c>
      <c r="M41" s="617"/>
      <c r="N41" s="60" t="s">
        <v>0</v>
      </c>
      <c r="O41" s="61"/>
      <c r="P41" s="61"/>
      <c r="Q41" s="616">
        <f>0+0+0+0+0+0+0+0</f>
        <v>0</v>
      </c>
      <c r="R41" s="617"/>
      <c r="S41" s="445" t="s">
        <v>91</v>
      </c>
      <c r="T41" s="446"/>
      <c r="U41" s="446"/>
      <c r="V41" s="446"/>
      <c r="W41" s="616">
        <f>1+1+0+1+2+4+0+0+1+0</f>
        <v>10</v>
      </c>
      <c r="X41" s="617"/>
      <c r="Y41" s="60" t="s">
        <v>2</v>
      </c>
      <c r="Z41" s="62"/>
      <c r="AA41" s="62"/>
      <c r="AB41" s="62"/>
      <c r="AC41" s="616">
        <f>1+2+1+0+0+2+1+0+2+0</f>
        <v>9</v>
      </c>
      <c r="AD41" s="617"/>
      <c r="AE41" s="458"/>
      <c r="AF41" s="459"/>
      <c r="AG41" s="6"/>
      <c r="AH41" s="16"/>
      <c r="AI41" s="16"/>
      <c r="AJ41" s="643"/>
      <c r="AK41" s="643"/>
      <c r="AL41" s="643"/>
      <c r="AM41" s="643"/>
      <c r="AN41" s="14"/>
      <c r="AO41" s="14"/>
      <c r="AP41" s="14"/>
      <c r="AQ41" s="14"/>
      <c r="AR41" s="14"/>
      <c r="AS41" s="14"/>
      <c r="AT41" s="14"/>
      <c r="AU41" s="14"/>
      <c r="AV41" s="14"/>
      <c r="AY41" s="79"/>
      <c r="AZ41" s="79"/>
    </row>
    <row r="42" spans="1:72" s="3" customFormat="1" ht="15.6" customHeight="1" x14ac:dyDescent="0.15">
      <c r="A42" s="49"/>
      <c r="B42" s="634"/>
      <c r="C42" s="635"/>
      <c r="D42" s="620"/>
      <c r="E42" s="621"/>
      <c r="F42" s="621"/>
      <c r="G42" s="621"/>
      <c r="H42" s="59"/>
      <c r="I42" s="60" t="s">
        <v>60</v>
      </c>
      <c r="J42" s="61"/>
      <c r="K42" s="61"/>
      <c r="L42" s="616">
        <f>1+3+5+1+1</f>
        <v>11</v>
      </c>
      <c r="M42" s="617"/>
      <c r="N42" s="60" t="s">
        <v>4</v>
      </c>
      <c r="O42" s="61"/>
      <c r="P42" s="61"/>
      <c r="Q42" s="616">
        <f>0+0+0+0+0+0+0+0</f>
        <v>0</v>
      </c>
      <c r="R42" s="617"/>
      <c r="S42" s="445" t="s">
        <v>92</v>
      </c>
      <c r="T42" s="446"/>
      <c r="U42" s="446"/>
      <c r="V42" s="446"/>
      <c r="W42" s="616">
        <f>6+2+1+3+1+1+2+0+1+0</f>
        <v>17</v>
      </c>
      <c r="X42" s="617"/>
      <c r="Y42" s="60" t="s">
        <v>98</v>
      </c>
      <c r="Z42" s="61"/>
      <c r="AA42" s="61"/>
      <c r="AB42" s="61"/>
      <c r="AC42" s="616">
        <f>1+3+4+2+3+5+2+3+1+1</f>
        <v>25</v>
      </c>
      <c r="AD42" s="617"/>
      <c r="AE42" s="458"/>
      <c r="AF42" s="459"/>
      <c r="AG42" s="6"/>
      <c r="AH42" s="16"/>
      <c r="AI42" s="541"/>
      <c r="AJ42" s="16"/>
      <c r="AK42" s="16"/>
      <c r="AL42" s="16"/>
      <c r="AM42" s="16"/>
      <c r="AN42" s="14"/>
      <c r="AO42" s="14"/>
      <c r="AP42" s="14"/>
      <c r="AQ42" s="14"/>
      <c r="AR42" s="14"/>
      <c r="AS42" s="14"/>
      <c r="AT42" s="14"/>
      <c r="AU42" s="14"/>
      <c r="AV42" s="14"/>
      <c r="AY42" s="79"/>
      <c r="AZ42" s="79"/>
    </row>
    <row r="43" spans="1:72" s="3" customFormat="1" ht="15.6" customHeight="1" x14ac:dyDescent="0.15">
      <c r="A43" s="49"/>
      <c r="B43" s="634"/>
      <c r="C43" s="635"/>
      <c r="D43" s="620"/>
      <c r="E43" s="621"/>
      <c r="F43" s="621"/>
      <c r="G43" s="621"/>
      <c r="H43" s="59"/>
      <c r="I43" s="60"/>
      <c r="J43" s="61"/>
      <c r="K43" s="61"/>
      <c r="L43" s="61"/>
      <c r="M43" s="63"/>
      <c r="N43" s="60" t="s">
        <v>60</v>
      </c>
      <c r="O43" s="61"/>
      <c r="P43" s="61"/>
      <c r="Q43" s="616">
        <f>0+2+1+0+0+0+1+2+0</f>
        <v>6</v>
      </c>
      <c r="R43" s="617"/>
      <c r="S43" s="445" t="s">
        <v>94</v>
      </c>
      <c r="T43" s="446"/>
      <c r="U43" s="446"/>
      <c r="V43" s="446"/>
      <c r="W43" s="616">
        <f>0+0+0+0+1+1+0+0+0+0</f>
        <v>2</v>
      </c>
      <c r="X43" s="617"/>
      <c r="Y43" s="60" t="s">
        <v>99</v>
      </c>
      <c r="Z43" s="61"/>
      <c r="AA43" s="61"/>
      <c r="AB43" s="61"/>
      <c r="AC43" s="618">
        <f>0+0+0+0+0+2+1+0+0+0</f>
        <v>3</v>
      </c>
      <c r="AD43" s="619"/>
      <c r="AE43" s="458"/>
      <c r="AF43" s="459"/>
      <c r="AG43" s="6"/>
      <c r="AH43" s="16"/>
      <c r="AI43" s="541"/>
      <c r="AJ43" s="16"/>
      <c r="AK43" s="16"/>
      <c r="AL43" s="16"/>
      <c r="AM43" s="16"/>
      <c r="AN43" s="14"/>
      <c r="AO43" s="14"/>
      <c r="AP43" s="14"/>
      <c r="AQ43" s="14"/>
      <c r="AR43" s="14"/>
      <c r="AS43" s="14"/>
      <c r="AT43" s="14"/>
      <c r="AU43" s="14"/>
      <c r="AV43" s="14"/>
      <c r="AY43" s="79"/>
      <c r="AZ43" s="79"/>
    </row>
    <row r="44" spans="1:72" s="3" customFormat="1" ht="15.6" customHeight="1" x14ac:dyDescent="0.15">
      <c r="A44" s="49"/>
      <c r="B44" s="634"/>
      <c r="C44" s="635"/>
      <c r="D44" s="445"/>
      <c r="E44" s="446"/>
      <c r="F44" s="446"/>
      <c r="G44" s="446"/>
      <c r="H44" s="59"/>
      <c r="I44" s="60"/>
      <c r="J44" s="61"/>
      <c r="K44" s="61"/>
      <c r="L44" s="61"/>
      <c r="M44" s="63"/>
      <c r="N44" s="60"/>
      <c r="O44" s="61"/>
      <c r="P44" s="61"/>
      <c r="Q44" s="440"/>
      <c r="R44" s="441"/>
      <c r="S44" s="445" t="s">
        <v>93</v>
      </c>
      <c r="T44" s="446"/>
      <c r="U44" s="446"/>
      <c r="V44" s="446"/>
      <c r="W44" s="616">
        <f>0+0+0+0+0+0+0+1+0+0</f>
        <v>1</v>
      </c>
      <c r="X44" s="617"/>
      <c r="Y44" s="60" t="s">
        <v>100</v>
      </c>
      <c r="Z44" s="61"/>
      <c r="AA44" s="61"/>
      <c r="AB44" s="61"/>
      <c r="AC44" s="618">
        <f>0+1+0+3+0+0+1+0+0+0</f>
        <v>5</v>
      </c>
      <c r="AD44" s="619"/>
      <c r="AE44" s="458"/>
      <c r="AF44" s="459"/>
      <c r="AG44" s="6"/>
      <c r="AH44" s="16"/>
      <c r="AI44" s="541"/>
      <c r="AJ44" s="16"/>
      <c r="AK44" s="16"/>
      <c r="AL44" s="16"/>
      <c r="AM44" s="16"/>
      <c r="AN44" s="14"/>
      <c r="AO44" s="14"/>
      <c r="AP44" s="14"/>
      <c r="AQ44" s="14"/>
      <c r="AR44" s="14"/>
      <c r="AS44" s="14"/>
      <c r="AT44" s="14"/>
      <c r="AU44" s="14"/>
      <c r="AV44" s="14"/>
      <c r="AY44" s="79"/>
      <c r="AZ44" s="79"/>
    </row>
    <row r="45" spans="1:72" s="3" customFormat="1" ht="15.6" customHeight="1" x14ac:dyDescent="0.15">
      <c r="A45" s="49"/>
      <c r="B45" s="634"/>
      <c r="C45" s="635"/>
      <c r="D45" s="445"/>
      <c r="E45" s="446"/>
      <c r="F45" s="446"/>
      <c r="G45" s="446"/>
      <c r="H45" s="59"/>
      <c r="I45" s="60"/>
      <c r="J45" s="61"/>
      <c r="K45" s="61"/>
      <c r="L45" s="61"/>
      <c r="M45" s="63"/>
      <c r="N45" s="60"/>
      <c r="O45" s="61"/>
      <c r="P45" s="61"/>
      <c r="Q45" s="440"/>
      <c r="R45" s="441"/>
      <c r="S45" s="445" t="s">
        <v>95</v>
      </c>
      <c r="T45" s="446"/>
      <c r="U45" s="446"/>
      <c r="V45" s="446"/>
      <c r="W45" s="616">
        <f>0+3+4+3+0+0+0+1+2</f>
        <v>13</v>
      </c>
      <c r="X45" s="617"/>
      <c r="Y45" s="60" t="s">
        <v>101</v>
      </c>
      <c r="Z45" s="61"/>
      <c r="AA45" s="61"/>
      <c r="AB45" s="61"/>
      <c r="AC45" s="618">
        <f>0+0+0+0+1+0+0+0+0+0</f>
        <v>1</v>
      </c>
      <c r="AD45" s="619"/>
      <c r="AE45" s="458"/>
      <c r="AF45" s="459"/>
      <c r="AG45" s="6"/>
      <c r="AH45" s="16"/>
      <c r="AI45" s="541"/>
      <c r="AJ45" s="16"/>
      <c r="AK45" s="16"/>
      <c r="AL45" s="16"/>
      <c r="AM45" s="16"/>
      <c r="AN45" s="14"/>
      <c r="AO45" s="14"/>
      <c r="AP45" s="14"/>
      <c r="AQ45" s="14"/>
      <c r="AR45" s="14"/>
      <c r="AS45" s="14"/>
      <c r="AT45" s="14"/>
      <c r="AU45" s="14"/>
      <c r="AV45" s="14"/>
      <c r="AY45" s="79"/>
      <c r="AZ45" s="79"/>
    </row>
    <row r="46" spans="1:72" s="3" customFormat="1" ht="15.6" customHeight="1" x14ac:dyDescent="0.15">
      <c r="A46" s="49"/>
      <c r="B46" s="634"/>
      <c r="C46" s="635"/>
      <c r="D46" s="445"/>
      <c r="E46" s="446"/>
      <c r="F46" s="446"/>
      <c r="G46" s="446"/>
      <c r="H46" s="59"/>
      <c r="I46" s="60"/>
      <c r="J46" s="61"/>
      <c r="K46" s="61"/>
      <c r="L46" s="61"/>
      <c r="M46" s="63"/>
      <c r="N46" s="60"/>
      <c r="O46" s="61"/>
      <c r="P46" s="61"/>
      <c r="Q46" s="440"/>
      <c r="R46" s="441"/>
      <c r="S46" s="445" t="s">
        <v>96</v>
      </c>
      <c r="T46" s="446"/>
      <c r="U46" s="446"/>
      <c r="V46" s="446"/>
      <c r="W46" s="616">
        <f>0+0+1+0+0+0+0+0+0+0</f>
        <v>1</v>
      </c>
      <c r="X46" s="617"/>
      <c r="Y46" s="60" t="s">
        <v>103</v>
      </c>
      <c r="Z46" s="61"/>
      <c r="AA46" s="61"/>
      <c r="AB46" s="61"/>
      <c r="AC46" s="618">
        <f>1+5+1+1+3+2+0+2+0+2</f>
        <v>17</v>
      </c>
      <c r="AD46" s="619"/>
      <c r="AE46" s="458"/>
      <c r="AF46" s="459"/>
      <c r="AG46" s="6"/>
      <c r="AH46" s="16"/>
      <c r="AI46" s="541"/>
      <c r="AJ46" s="16"/>
      <c r="AK46" s="16"/>
      <c r="AL46" s="16"/>
      <c r="AM46" s="16"/>
      <c r="AN46" s="14"/>
      <c r="AO46" s="14"/>
      <c r="AP46" s="14"/>
      <c r="AQ46" s="14"/>
      <c r="AR46" s="14"/>
      <c r="AS46" s="14"/>
      <c r="AT46" s="14"/>
      <c r="AU46" s="14"/>
      <c r="AV46" s="14"/>
      <c r="AY46" s="79"/>
      <c r="AZ46" s="79"/>
    </row>
    <row r="47" spans="1:72" s="3" customFormat="1" ht="15.6" customHeight="1" x14ac:dyDescent="0.15">
      <c r="A47" s="49"/>
      <c r="B47" s="634"/>
      <c r="C47" s="635"/>
      <c r="D47" s="445"/>
      <c r="E47" s="446"/>
      <c r="F47" s="446"/>
      <c r="G47" s="446"/>
      <c r="H47" s="59"/>
      <c r="I47" s="60"/>
      <c r="J47" s="61"/>
      <c r="K47" s="61"/>
      <c r="L47" s="61"/>
      <c r="M47" s="63"/>
      <c r="N47" s="60"/>
      <c r="O47" s="61"/>
      <c r="P47" s="61"/>
      <c r="Q47" s="440"/>
      <c r="R47" s="441"/>
      <c r="S47" s="445" t="s">
        <v>80</v>
      </c>
      <c r="T47" s="446"/>
      <c r="U47" s="446"/>
      <c r="V47" s="446"/>
      <c r="W47" s="616">
        <f>12+14+8+14+16+16+14+26+16+16</f>
        <v>152</v>
      </c>
      <c r="X47" s="617"/>
      <c r="Y47" s="60" t="s">
        <v>104</v>
      </c>
      <c r="Z47" s="61"/>
      <c r="AA47" s="61"/>
      <c r="AB47" s="61"/>
      <c r="AC47" s="618">
        <f>0+0+0+1+0+1+0+0+0+0</f>
        <v>2</v>
      </c>
      <c r="AD47" s="619"/>
      <c r="AE47" s="458"/>
      <c r="AF47" s="459"/>
      <c r="AG47" s="6"/>
      <c r="AH47" s="16"/>
      <c r="AI47" s="16"/>
      <c r="AJ47" s="16"/>
      <c r="AK47" s="16"/>
      <c r="AL47" s="16"/>
      <c r="AM47" s="16"/>
      <c r="AN47" s="14"/>
      <c r="AO47" s="14"/>
      <c r="AP47" s="14"/>
      <c r="AQ47" s="14"/>
      <c r="AR47" s="14"/>
      <c r="AS47" s="14"/>
      <c r="AT47" s="14"/>
      <c r="AU47" s="14"/>
      <c r="AV47" s="14"/>
      <c r="AY47" s="79"/>
      <c r="AZ47" s="79"/>
    </row>
    <row r="48" spans="1:72" s="3" customFormat="1" ht="15.6" customHeight="1" x14ac:dyDescent="0.15">
      <c r="A48" s="49"/>
      <c r="B48" s="634"/>
      <c r="C48" s="635"/>
      <c r="D48" s="445"/>
      <c r="E48" s="446"/>
      <c r="F48" s="446"/>
      <c r="G48" s="446"/>
      <c r="H48" s="59"/>
      <c r="I48" s="60"/>
      <c r="J48" s="61"/>
      <c r="K48" s="61"/>
      <c r="L48" s="61"/>
      <c r="M48" s="63"/>
      <c r="N48" s="60"/>
      <c r="O48" s="61"/>
      <c r="P48" s="61"/>
      <c r="Q48" s="440"/>
      <c r="R48" s="441"/>
      <c r="S48" s="445" t="s">
        <v>102</v>
      </c>
      <c r="T48" s="446"/>
      <c r="U48" s="446"/>
      <c r="V48" s="446"/>
      <c r="W48" s="616">
        <f>0+0+0+0+1+1+0+1+0+1</f>
        <v>4</v>
      </c>
      <c r="X48" s="617"/>
      <c r="Y48" s="60" t="s">
        <v>105</v>
      </c>
      <c r="Z48" s="61"/>
      <c r="AA48" s="61"/>
      <c r="AB48" s="61"/>
      <c r="AC48" s="618">
        <f>2+4+7+1+4+10+4+4+3+3</f>
        <v>42</v>
      </c>
      <c r="AD48" s="619"/>
      <c r="AE48" s="458"/>
      <c r="AF48" s="459"/>
      <c r="AG48" s="6"/>
      <c r="AH48" s="16"/>
      <c r="AI48" s="16"/>
      <c r="AJ48" s="16"/>
      <c r="AK48" s="16"/>
      <c r="AL48" s="16"/>
      <c r="AM48" s="16"/>
      <c r="AN48" s="14"/>
      <c r="AO48" s="14"/>
      <c r="AP48" s="14"/>
      <c r="AQ48" s="14"/>
      <c r="AR48" s="14"/>
      <c r="AS48" s="14"/>
      <c r="AT48" s="14"/>
      <c r="AU48" s="14"/>
      <c r="AV48" s="14"/>
      <c r="AY48" s="79"/>
      <c r="AZ48" s="79"/>
    </row>
    <row r="49" spans="1:52" s="3" customFormat="1" ht="15.6" customHeight="1" x14ac:dyDescent="0.15">
      <c r="A49" s="49"/>
      <c r="B49" s="636"/>
      <c r="C49" s="637"/>
      <c r="D49" s="628"/>
      <c r="E49" s="629"/>
      <c r="F49" s="629"/>
      <c r="G49" s="629"/>
      <c r="H49" s="64"/>
      <c r="I49" s="65"/>
      <c r="J49" s="66"/>
      <c r="K49" s="66"/>
      <c r="L49" s="66"/>
      <c r="M49" s="67"/>
      <c r="N49" s="65"/>
      <c r="O49" s="66"/>
      <c r="P49" s="66"/>
      <c r="Q49" s="66"/>
      <c r="R49" s="67"/>
      <c r="S49" s="442" t="s">
        <v>24</v>
      </c>
      <c r="T49" s="443"/>
      <c r="U49" s="443"/>
      <c r="V49" s="443"/>
      <c r="W49" s="630">
        <f>1+3+1+1+2+2+2+2+2+3</f>
        <v>19</v>
      </c>
      <c r="X49" s="631"/>
      <c r="Y49" s="65" t="s">
        <v>24</v>
      </c>
      <c r="Z49" s="68"/>
      <c r="AA49" s="66"/>
      <c r="AB49" s="66"/>
      <c r="AC49" s="630">
        <f>5+0+2+8+1+4+1+2+4+5</f>
        <v>32</v>
      </c>
      <c r="AD49" s="631"/>
      <c r="AE49" s="456"/>
      <c r="AF49" s="457"/>
      <c r="AG49" s="8"/>
      <c r="AH49" s="16"/>
      <c r="AI49" s="16"/>
      <c r="AJ49" s="16"/>
      <c r="AK49" s="16"/>
      <c r="AL49" s="16"/>
      <c r="AM49" s="16"/>
      <c r="AN49" s="14"/>
      <c r="AO49" s="14"/>
      <c r="AP49" s="14"/>
      <c r="AQ49" s="14"/>
      <c r="AR49" s="14"/>
      <c r="AS49" s="14"/>
      <c r="AT49" s="14"/>
      <c r="AU49" s="14"/>
      <c r="AV49" s="14"/>
      <c r="AY49" s="79"/>
      <c r="AZ49" s="79"/>
    </row>
    <row r="50" spans="1:52" s="3" customFormat="1" ht="15.6" customHeight="1" x14ac:dyDescent="0.15">
      <c r="A50" s="49"/>
      <c r="B50" s="466"/>
      <c r="C50" s="466"/>
      <c r="D50" s="459"/>
      <c r="E50" s="459"/>
      <c r="F50" s="459"/>
      <c r="G50" s="459"/>
      <c r="H50" s="459"/>
      <c r="I50" s="459"/>
      <c r="J50" s="459"/>
      <c r="K50" s="459"/>
      <c r="L50" s="459"/>
      <c r="M50" s="459"/>
      <c r="N50" s="459"/>
      <c r="O50" s="459"/>
      <c r="P50" s="469"/>
      <c r="Q50" s="469"/>
      <c r="R50" s="466"/>
      <c r="S50" s="459"/>
      <c r="T50" s="459"/>
      <c r="U50" s="459"/>
      <c r="V50" s="459"/>
      <c r="W50" s="467"/>
      <c r="X50" s="467"/>
      <c r="Y50" s="469"/>
      <c r="Z50" s="37"/>
      <c r="AA50" s="469"/>
      <c r="AB50" s="469"/>
      <c r="AC50" s="467"/>
      <c r="AD50" s="467"/>
      <c r="AE50" s="459"/>
      <c r="AF50" s="459"/>
      <c r="AG50" s="459"/>
      <c r="AH50" s="16"/>
      <c r="AI50" s="16"/>
      <c r="AJ50" s="16"/>
      <c r="AK50" s="16"/>
      <c r="AL50" s="16"/>
      <c r="AM50" s="16"/>
      <c r="AN50" s="14"/>
      <c r="AO50" s="14"/>
      <c r="AP50" s="14"/>
      <c r="AQ50" s="14"/>
      <c r="AR50" s="14"/>
      <c r="AS50" s="14"/>
      <c r="AT50" s="14"/>
      <c r="AU50" s="14"/>
      <c r="AV50" s="14"/>
      <c r="AY50" s="79"/>
      <c r="AZ50" s="79"/>
    </row>
    <row r="51" spans="1:52" s="3" customFormat="1" ht="15.6" customHeight="1" x14ac:dyDescent="0.15">
      <c r="A51" s="49"/>
      <c r="B51" s="466"/>
      <c r="C51" s="466"/>
      <c r="D51" s="459"/>
      <c r="E51" s="459"/>
      <c r="F51" s="459"/>
      <c r="G51" s="459"/>
      <c r="H51" s="459"/>
      <c r="I51" s="459"/>
      <c r="J51" s="459"/>
      <c r="K51" s="459"/>
      <c r="L51" s="459"/>
      <c r="M51" s="459"/>
      <c r="N51" s="459"/>
      <c r="O51" s="459"/>
      <c r="P51" s="469"/>
      <c r="Q51" s="469"/>
      <c r="R51" s="466"/>
      <c r="S51" s="459"/>
      <c r="T51" s="459"/>
      <c r="U51" s="459"/>
      <c r="V51" s="459"/>
      <c r="W51" s="467"/>
      <c r="X51" s="467"/>
      <c r="Y51" s="469"/>
      <c r="Z51" s="37"/>
      <c r="AA51" s="469"/>
      <c r="AB51" s="469"/>
      <c r="AC51" s="467"/>
      <c r="AD51" s="467"/>
      <c r="AE51" s="459"/>
      <c r="AF51" s="459"/>
      <c r="AG51" s="459"/>
      <c r="AH51" s="16"/>
      <c r="AI51" s="16"/>
      <c r="AJ51" s="16"/>
      <c r="AK51" s="16"/>
      <c r="AL51" s="16"/>
      <c r="AM51" s="16"/>
      <c r="AN51" s="14"/>
      <c r="AO51" s="14"/>
      <c r="AP51" s="14"/>
      <c r="AQ51" s="14"/>
      <c r="AR51" s="14"/>
      <c r="AS51" s="14"/>
      <c r="AT51" s="14"/>
      <c r="AU51" s="14"/>
      <c r="AV51" s="14"/>
      <c r="AY51" s="79"/>
      <c r="AZ51" s="79"/>
    </row>
    <row r="52" spans="1:52" s="3" customFormat="1" ht="15.6" customHeight="1" x14ac:dyDescent="0.15">
      <c r="A52" s="49"/>
      <c r="B52" s="466"/>
      <c r="C52" s="466"/>
      <c r="D52" s="459"/>
      <c r="E52" s="459"/>
      <c r="F52" s="459"/>
      <c r="G52" s="459"/>
      <c r="H52" s="459"/>
      <c r="I52" s="459"/>
      <c r="J52" s="459"/>
      <c r="K52" s="459"/>
      <c r="L52" s="459"/>
      <c r="M52" s="459"/>
      <c r="N52" s="459"/>
      <c r="O52" s="459"/>
      <c r="P52" s="469"/>
      <c r="Q52" s="469"/>
      <c r="R52" s="466"/>
      <c r="S52" s="459"/>
      <c r="T52" s="459"/>
      <c r="U52" s="459"/>
      <c r="V52" s="459"/>
      <c r="W52" s="467"/>
      <c r="X52" s="467"/>
      <c r="Y52" s="469"/>
      <c r="Z52" s="37"/>
      <c r="AA52" s="469"/>
      <c r="AB52" s="469"/>
      <c r="AC52" s="467"/>
      <c r="AD52" s="467"/>
      <c r="AE52" s="459"/>
      <c r="AF52" s="459"/>
      <c r="AG52" s="459"/>
      <c r="AH52" s="16"/>
      <c r="AI52" s="16"/>
      <c r="AJ52" s="16"/>
      <c r="AK52" s="16"/>
      <c r="AL52" s="16"/>
      <c r="AM52" s="16"/>
      <c r="AN52" s="14"/>
      <c r="AO52" s="14"/>
      <c r="AP52" s="14"/>
      <c r="AQ52" s="14"/>
      <c r="AR52" s="14"/>
      <c r="AS52" s="14"/>
      <c r="AT52" s="14"/>
      <c r="AU52" s="14"/>
      <c r="AV52" s="14"/>
      <c r="AY52" s="79"/>
      <c r="AZ52" s="79"/>
    </row>
    <row r="53" spans="1:52" s="3" customFormat="1" ht="15.6" customHeight="1" x14ac:dyDescent="0.15">
      <c r="A53" s="49"/>
      <c r="B53" s="466"/>
      <c r="C53" s="466"/>
      <c r="D53" s="459"/>
      <c r="E53" s="459"/>
      <c r="F53" s="459"/>
      <c r="G53" s="459"/>
      <c r="H53" s="459"/>
      <c r="I53" s="459"/>
      <c r="J53" s="459"/>
      <c r="K53" s="459"/>
      <c r="L53" s="459"/>
      <c r="M53" s="459"/>
      <c r="N53" s="459"/>
      <c r="O53" s="459"/>
      <c r="P53" s="469"/>
      <c r="Q53" s="469"/>
      <c r="R53" s="466"/>
      <c r="S53" s="459"/>
      <c r="T53" s="459"/>
      <c r="U53" s="459"/>
      <c r="V53" s="459"/>
      <c r="W53" s="467"/>
      <c r="X53" s="467"/>
      <c r="Y53" s="469"/>
      <c r="Z53" s="37"/>
      <c r="AA53" s="469"/>
      <c r="AB53" s="469"/>
      <c r="AC53" s="467"/>
      <c r="AD53" s="467"/>
      <c r="AE53" s="459"/>
      <c r="AF53" s="459"/>
      <c r="AG53" s="459"/>
      <c r="AH53" s="16"/>
      <c r="AI53" s="16"/>
      <c r="AJ53" s="16"/>
      <c r="AK53" s="16"/>
      <c r="AL53" s="16"/>
      <c r="AM53" s="16"/>
      <c r="AN53" s="14"/>
      <c r="AO53" s="14"/>
      <c r="AP53" s="14"/>
      <c r="AQ53" s="14"/>
      <c r="AR53" s="14"/>
      <c r="AS53" s="14"/>
      <c r="AT53" s="14"/>
      <c r="AU53" s="14"/>
      <c r="AV53" s="14"/>
      <c r="AY53" s="79"/>
      <c r="AZ53" s="79"/>
    </row>
    <row r="54" spans="1:52" s="3" customFormat="1" ht="15.6" customHeight="1" x14ac:dyDescent="0.15">
      <c r="A54" s="49"/>
      <c r="B54" s="466"/>
      <c r="C54" s="466"/>
      <c r="D54" s="459"/>
      <c r="E54" s="459"/>
      <c r="F54" s="459"/>
      <c r="G54" s="459"/>
      <c r="H54" s="459"/>
      <c r="I54" s="459"/>
      <c r="J54" s="459"/>
      <c r="K54" s="459"/>
      <c r="L54" s="459"/>
      <c r="M54" s="459"/>
      <c r="N54" s="459"/>
      <c r="O54" s="459"/>
      <c r="P54" s="469"/>
      <c r="Q54" s="469"/>
      <c r="R54" s="466"/>
      <c r="S54" s="459"/>
      <c r="T54" s="459"/>
      <c r="U54" s="459"/>
      <c r="V54" s="459"/>
      <c r="W54" s="467"/>
      <c r="X54" s="467"/>
      <c r="Y54" s="469"/>
      <c r="Z54" s="37"/>
      <c r="AA54" s="469"/>
      <c r="AB54" s="469"/>
      <c r="AC54" s="467"/>
      <c r="AD54" s="467"/>
      <c r="AE54" s="459"/>
      <c r="AF54" s="459"/>
      <c r="AG54" s="459"/>
      <c r="AH54" s="16"/>
      <c r="AI54" s="16"/>
      <c r="AJ54" s="16"/>
      <c r="AK54" s="16"/>
      <c r="AL54" s="16"/>
      <c r="AM54" s="16"/>
      <c r="AN54" s="14"/>
      <c r="AO54" s="14"/>
      <c r="AP54" s="14"/>
      <c r="AQ54" s="14"/>
      <c r="AR54" s="14"/>
      <c r="AS54" s="14"/>
      <c r="AT54" s="14"/>
      <c r="AU54" s="14"/>
      <c r="AV54" s="14"/>
      <c r="AY54" s="79"/>
      <c r="AZ54" s="79"/>
    </row>
    <row r="55" spans="1:52" s="3" customFormat="1" ht="15.6" customHeight="1" x14ac:dyDescent="0.15">
      <c r="A55" s="50" t="s">
        <v>125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4"/>
      <c r="AO55" s="14"/>
      <c r="AP55" s="14"/>
      <c r="AQ55" s="14"/>
      <c r="AR55" s="14"/>
      <c r="AS55" s="14"/>
      <c r="AT55" s="14"/>
      <c r="AU55" s="14"/>
      <c r="AV55" s="14"/>
      <c r="AY55" s="79"/>
      <c r="AZ55" s="79"/>
    </row>
    <row r="56" spans="1:52" s="3" customFormat="1" ht="15.6" customHeight="1" x14ac:dyDescent="0.15">
      <c r="A56" s="54"/>
      <c r="B56" s="644" t="s">
        <v>25</v>
      </c>
      <c r="C56" s="645"/>
      <c r="D56" s="645"/>
      <c r="E56" s="646"/>
      <c r="F56" s="647" t="s">
        <v>26</v>
      </c>
      <c r="G56" s="647"/>
      <c r="H56" s="647"/>
      <c r="I56" s="647"/>
      <c r="J56" s="647" t="s">
        <v>83</v>
      </c>
      <c r="K56" s="647"/>
      <c r="L56" s="647"/>
      <c r="M56" s="647"/>
      <c r="N56" s="647" t="s">
        <v>27</v>
      </c>
      <c r="O56" s="647"/>
      <c r="P56" s="647"/>
      <c r="Q56" s="647"/>
      <c r="R56" s="647" t="s">
        <v>84</v>
      </c>
      <c r="S56" s="647"/>
      <c r="T56" s="647"/>
      <c r="U56" s="647"/>
      <c r="V56" s="647" t="s">
        <v>85</v>
      </c>
      <c r="W56" s="647"/>
      <c r="X56" s="647"/>
      <c r="Y56" s="647"/>
      <c r="Z56" s="647" t="s">
        <v>28</v>
      </c>
      <c r="AA56" s="647"/>
      <c r="AB56" s="647"/>
      <c r="AC56" s="647"/>
      <c r="AD56" s="644" t="s">
        <v>29</v>
      </c>
      <c r="AE56" s="645"/>
      <c r="AF56" s="645"/>
      <c r="AG56" s="646"/>
      <c r="AH56" s="16"/>
      <c r="AI56" s="16"/>
      <c r="AJ56" s="16"/>
      <c r="AK56" s="16"/>
      <c r="AL56" s="16"/>
      <c r="AM56" s="16"/>
      <c r="AN56" s="14"/>
      <c r="AO56" s="14"/>
      <c r="AP56" s="14"/>
      <c r="AQ56" s="14"/>
      <c r="AR56" s="14"/>
      <c r="AS56" s="14"/>
      <c r="AT56" s="14"/>
      <c r="AU56" s="14"/>
      <c r="AV56" s="14"/>
      <c r="AY56" s="79"/>
      <c r="AZ56" s="79"/>
    </row>
    <row r="57" spans="1:52" s="14" customFormat="1" ht="15.6" customHeight="1" x14ac:dyDescent="0.15">
      <c r="B57" s="655" t="s">
        <v>218</v>
      </c>
      <c r="C57" s="656"/>
      <c r="D57" s="656"/>
      <c r="E57" s="657"/>
      <c r="F57" s="650" t="s">
        <v>9</v>
      </c>
      <c r="G57" s="651"/>
      <c r="H57" s="651"/>
      <c r="I57" s="652"/>
      <c r="J57" s="638">
        <f>1276+4</f>
        <v>1280</v>
      </c>
      <c r="K57" s="639"/>
      <c r="L57" s="639"/>
      <c r="M57" s="640"/>
      <c r="N57" s="638">
        <v>110</v>
      </c>
      <c r="O57" s="639"/>
      <c r="P57" s="639"/>
      <c r="Q57" s="640"/>
      <c r="R57" s="638">
        <v>375</v>
      </c>
      <c r="S57" s="639"/>
      <c r="T57" s="639"/>
      <c r="U57" s="640"/>
      <c r="V57" s="638">
        <v>294</v>
      </c>
      <c r="W57" s="639"/>
      <c r="X57" s="639"/>
      <c r="Y57" s="640"/>
      <c r="Z57" s="638">
        <v>506</v>
      </c>
      <c r="AA57" s="639"/>
      <c r="AB57" s="639"/>
      <c r="AC57" s="640"/>
      <c r="AD57" s="638">
        <f>SUM(J57:AC57)</f>
        <v>2565</v>
      </c>
      <c r="AE57" s="639"/>
      <c r="AF57" s="639"/>
      <c r="AG57" s="640"/>
      <c r="AQ57" s="85"/>
      <c r="AR57" s="85"/>
      <c r="AY57" s="80"/>
      <c r="AZ57" s="80"/>
    </row>
    <row r="58" spans="1:52" s="14" customFormat="1" ht="15.6" customHeight="1" x14ac:dyDescent="0.15">
      <c r="B58" s="658"/>
      <c r="C58" s="659"/>
      <c r="D58" s="659"/>
      <c r="E58" s="660"/>
      <c r="F58" s="664" t="s">
        <v>30</v>
      </c>
      <c r="G58" s="665"/>
      <c r="H58" s="665"/>
      <c r="I58" s="666"/>
      <c r="J58" s="661">
        <f>J57/$AD$57</f>
        <v>0.49902534113060426</v>
      </c>
      <c r="K58" s="662"/>
      <c r="L58" s="662"/>
      <c r="M58" s="663"/>
      <c r="N58" s="661">
        <f>N57/$AD$57</f>
        <v>4.2884990253411304E-2</v>
      </c>
      <c r="O58" s="662"/>
      <c r="P58" s="662"/>
      <c r="Q58" s="663"/>
      <c r="R58" s="661">
        <f>R57/$AD$57</f>
        <v>0.14619883040935672</v>
      </c>
      <c r="S58" s="662"/>
      <c r="T58" s="662"/>
      <c r="U58" s="663"/>
      <c r="V58" s="661">
        <f>V57/$AD$57</f>
        <v>0.11461988304093568</v>
      </c>
      <c r="W58" s="662"/>
      <c r="X58" s="662"/>
      <c r="Y58" s="663"/>
      <c r="Z58" s="661">
        <f>Z57/$AD$57</f>
        <v>0.19727095516569201</v>
      </c>
      <c r="AA58" s="662"/>
      <c r="AB58" s="662"/>
      <c r="AC58" s="663"/>
      <c r="AD58" s="661">
        <v>1</v>
      </c>
      <c r="AE58" s="662"/>
      <c r="AF58" s="662"/>
      <c r="AG58" s="663"/>
      <c r="AJ58" s="84"/>
      <c r="AQ58" s="653"/>
      <c r="AR58" s="654"/>
      <c r="AY58" s="80"/>
      <c r="AZ58" s="80"/>
    </row>
    <row r="59" spans="1:52" s="14" customFormat="1" ht="15.6" customHeight="1" x14ac:dyDescent="0.15">
      <c r="B59" s="655" t="s">
        <v>163</v>
      </c>
      <c r="C59" s="656"/>
      <c r="D59" s="656"/>
      <c r="E59" s="657"/>
      <c r="F59" s="650" t="s">
        <v>9</v>
      </c>
      <c r="G59" s="651"/>
      <c r="H59" s="651"/>
      <c r="I59" s="652"/>
      <c r="J59" s="638">
        <v>1252</v>
      </c>
      <c r="K59" s="639"/>
      <c r="L59" s="639"/>
      <c r="M59" s="640"/>
      <c r="N59" s="638">
        <v>129</v>
      </c>
      <c r="O59" s="639"/>
      <c r="P59" s="639"/>
      <c r="Q59" s="640"/>
      <c r="R59" s="638">
        <v>373</v>
      </c>
      <c r="S59" s="639"/>
      <c r="T59" s="639"/>
      <c r="U59" s="640"/>
      <c r="V59" s="638">
        <v>295</v>
      </c>
      <c r="W59" s="639"/>
      <c r="X59" s="639"/>
      <c r="Y59" s="640"/>
      <c r="Z59" s="638">
        <v>509</v>
      </c>
      <c r="AA59" s="639"/>
      <c r="AB59" s="639"/>
      <c r="AC59" s="640"/>
      <c r="AD59" s="638">
        <v>2558</v>
      </c>
      <c r="AE59" s="639"/>
      <c r="AF59" s="639"/>
      <c r="AG59" s="640"/>
      <c r="AJ59" s="84"/>
      <c r="AQ59" s="654"/>
      <c r="AR59" s="654"/>
      <c r="AY59" s="80"/>
      <c r="AZ59" s="80"/>
    </row>
    <row r="60" spans="1:52" s="14" customFormat="1" ht="15.6" customHeight="1" x14ac:dyDescent="0.15">
      <c r="B60" s="658"/>
      <c r="C60" s="659"/>
      <c r="D60" s="659"/>
      <c r="E60" s="660"/>
      <c r="F60" s="664" t="s">
        <v>30</v>
      </c>
      <c r="G60" s="665"/>
      <c r="H60" s="665"/>
      <c r="I60" s="666"/>
      <c r="J60" s="661">
        <v>0.48899999999999999</v>
      </c>
      <c r="K60" s="662"/>
      <c r="L60" s="662"/>
      <c r="M60" s="663"/>
      <c r="N60" s="661">
        <f>N59/AD59</f>
        <v>5.0430023455824861E-2</v>
      </c>
      <c r="O60" s="662"/>
      <c r="P60" s="662"/>
      <c r="Q60" s="663"/>
      <c r="R60" s="661">
        <v>0.14599999999999999</v>
      </c>
      <c r="S60" s="662"/>
      <c r="T60" s="662"/>
      <c r="U60" s="663"/>
      <c r="V60" s="661">
        <f>V59/AD59</f>
        <v>0.11532447224394057</v>
      </c>
      <c r="W60" s="662"/>
      <c r="X60" s="662"/>
      <c r="Y60" s="663"/>
      <c r="Z60" s="661">
        <v>0.2</v>
      </c>
      <c r="AA60" s="662"/>
      <c r="AB60" s="662"/>
      <c r="AC60" s="663"/>
      <c r="AD60" s="661">
        <v>1</v>
      </c>
      <c r="AE60" s="662"/>
      <c r="AF60" s="662"/>
      <c r="AG60" s="663"/>
      <c r="AJ60" s="84"/>
      <c r="AQ60" s="654"/>
      <c r="AR60" s="654"/>
      <c r="AY60" s="80"/>
      <c r="AZ60" s="80"/>
    </row>
    <row r="61" spans="1:52" s="14" customFormat="1" ht="15.6" customHeight="1" x14ac:dyDescent="0.15">
      <c r="A61" s="16"/>
      <c r="B61" s="667" t="s">
        <v>31</v>
      </c>
      <c r="C61" s="668"/>
      <c r="D61" s="668"/>
      <c r="E61" s="669"/>
      <c r="F61" s="673" t="s">
        <v>9</v>
      </c>
      <c r="G61" s="673"/>
      <c r="H61" s="673"/>
      <c r="I61" s="673"/>
      <c r="J61" s="674">
        <f>J57-J59</f>
        <v>28</v>
      </c>
      <c r="K61" s="674"/>
      <c r="L61" s="674"/>
      <c r="M61" s="674"/>
      <c r="N61" s="674">
        <f>N57-N59</f>
        <v>-19</v>
      </c>
      <c r="O61" s="674"/>
      <c r="P61" s="674"/>
      <c r="Q61" s="674"/>
      <c r="R61" s="674">
        <f>R57-R59</f>
        <v>2</v>
      </c>
      <c r="S61" s="674"/>
      <c r="T61" s="674"/>
      <c r="U61" s="674"/>
      <c r="V61" s="674">
        <f>V57-V59</f>
        <v>-1</v>
      </c>
      <c r="W61" s="674"/>
      <c r="X61" s="674"/>
      <c r="Y61" s="674"/>
      <c r="Z61" s="674">
        <f>Z57-Z59</f>
        <v>-3</v>
      </c>
      <c r="AA61" s="674"/>
      <c r="AB61" s="674"/>
      <c r="AC61" s="674"/>
      <c r="AD61" s="675">
        <f>SUM(J61:AC61)</f>
        <v>7</v>
      </c>
      <c r="AE61" s="676"/>
      <c r="AF61" s="676"/>
      <c r="AG61" s="677"/>
      <c r="AH61" s="16"/>
      <c r="AI61" s="16"/>
      <c r="AJ61" s="16"/>
      <c r="AK61" s="16"/>
      <c r="AL61" s="16"/>
      <c r="AM61" s="16"/>
      <c r="AQ61" s="654"/>
      <c r="AR61" s="654"/>
      <c r="AY61" s="80"/>
      <c r="AZ61" s="80"/>
    </row>
    <row r="62" spans="1:52" s="14" customFormat="1" ht="15.6" customHeight="1" x14ac:dyDescent="0.15">
      <c r="A62" s="16"/>
      <c r="B62" s="670"/>
      <c r="C62" s="671"/>
      <c r="D62" s="671"/>
      <c r="E62" s="672"/>
      <c r="F62" s="692" t="s">
        <v>32</v>
      </c>
      <c r="G62" s="692"/>
      <c r="H62" s="692"/>
      <c r="I62" s="692"/>
      <c r="J62" s="693">
        <f>J57/J59</f>
        <v>1.0223642172523961</v>
      </c>
      <c r="K62" s="693"/>
      <c r="L62" s="693"/>
      <c r="M62" s="693"/>
      <c r="N62" s="693">
        <f>N57/N59</f>
        <v>0.8527131782945736</v>
      </c>
      <c r="O62" s="693"/>
      <c r="P62" s="693"/>
      <c r="Q62" s="693"/>
      <c r="R62" s="693">
        <f>R57/R59</f>
        <v>1.0053619302949062</v>
      </c>
      <c r="S62" s="693"/>
      <c r="T62" s="693"/>
      <c r="U62" s="693"/>
      <c r="V62" s="693">
        <f>V57/V59</f>
        <v>0.99661016949152548</v>
      </c>
      <c r="W62" s="693"/>
      <c r="X62" s="693"/>
      <c r="Y62" s="693"/>
      <c r="Z62" s="693">
        <f>Z57/Z59</f>
        <v>0.9941060903732809</v>
      </c>
      <c r="AA62" s="693"/>
      <c r="AB62" s="693"/>
      <c r="AC62" s="693"/>
      <c r="AD62" s="694">
        <f>AD57/AD59</f>
        <v>1.0027365129007038</v>
      </c>
      <c r="AE62" s="695"/>
      <c r="AF62" s="695"/>
      <c r="AG62" s="696"/>
      <c r="AH62" s="16"/>
      <c r="AI62" s="16"/>
      <c r="AJ62" s="16"/>
      <c r="AK62" s="16"/>
      <c r="AL62" s="16"/>
      <c r="AM62" s="16"/>
      <c r="AQ62" s="654"/>
      <c r="AR62" s="654"/>
      <c r="AY62" s="80"/>
      <c r="AZ62" s="80"/>
    </row>
    <row r="63" spans="1:52" s="3" customFormat="1" ht="15.6" customHeight="1" x14ac:dyDescent="0.15">
      <c r="A63" s="49"/>
      <c r="B63" s="466"/>
      <c r="C63" s="466"/>
      <c r="D63" s="459"/>
      <c r="E63" s="459"/>
      <c r="F63" s="459"/>
      <c r="G63" s="459"/>
      <c r="H63" s="455"/>
      <c r="I63" s="469"/>
      <c r="J63" s="469"/>
      <c r="K63" s="469"/>
      <c r="L63" s="469"/>
      <c r="M63" s="466"/>
      <c r="N63" s="469"/>
      <c r="O63" s="469"/>
      <c r="P63" s="469"/>
      <c r="Q63" s="469"/>
      <c r="R63" s="466"/>
      <c r="S63" s="459"/>
      <c r="T63" s="459"/>
      <c r="U63" s="459"/>
      <c r="V63" s="459"/>
      <c r="W63" s="467"/>
      <c r="X63" s="467"/>
      <c r="Y63" s="469"/>
      <c r="Z63" s="37"/>
      <c r="AA63" s="469"/>
      <c r="AB63" s="469"/>
      <c r="AC63" s="467"/>
      <c r="AD63" s="467"/>
      <c r="AE63" s="459"/>
      <c r="AF63" s="459"/>
      <c r="AG63" s="459"/>
      <c r="AH63" s="16"/>
      <c r="AI63" s="16"/>
      <c r="AJ63" s="16"/>
      <c r="AK63" s="16"/>
      <c r="AL63" s="16"/>
      <c r="AM63" s="16"/>
      <c r="AN63" s="14"/>
      <c r="AO63" s="14"/>
      <c r="AP63" s="14"/>
      <c r="AQ63" s="654"/>
      <c r="AR63" s="654"/>
      <c r="AS63" s="14"/>
      <c r="AT63" s="14"/>
      <c r="AU63" s="14"/>
      <c r="AV63" s="14"/>
      <c r="AY63" s="79"/>
      <c r="AZ63" s="79"/>
    </row>
    <row r="64" spans="1:52" s="3" customFormat="1" ht="15.6" customHeight="1" x14ac:dyDescent="0.15">
      <c r="A64" s="56" t="s">
        <v>110</v>
      </c>
      <c r="B64" s="332"/>
      <c r="C64" s="332"/>
      <c r="D64" s="332"/>
      <c r="E64" s="332"/>
      <c r="F64" s="332"/>
      <c r="G64" s="333" t="s">
        <v>141</v>
      </c>
      <c r="H64" s="334"/>
      <c r="I64" s="334"/>
      <c r="J64" s="334"/>
      <c r="K64" s="334"/>
      <c r="L64" s="334"/>
      <c r="M64" s="334"/>
      <c r="N64" s="334"/>
      <c r="O64" s="36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450" t="s">
        <v>40</v>
      </c>
      <c r="AH64" s="16"/>
      <c r="AI64" s="16"/>
      <c r="AJ64" s="16"/>
      <c r="AK64" s="16"/>
      <c r="AL64" s="16"/>
      <c r="AM64" s="16"/>
      <c r="AN64" s="16"/>
      <c r="AO64" s="16"/>
      <c r="AP64" s="16"/>
      <c r="AQ64" s="654"/>
      <c r="AR64" s="654"/>
      <c r="AS64" s="16"/>
      <c r="AT64" s="16"/>
      <c r="AU64" s="16"/>
      <c r="AV64" s="14"/>
      <c r="AY64" s="79"/>
      <c r="AZ64" s="79"/>
    </row>
    <row r="65" spans="1:52" s="3" customFormat="1" ht="15.6" customHeight="1" x14ac:dyDescent="0.15">
      <c r="A65" s="49"/>
      <c r="B65" s="678" t="s">
        <v>25</v>
      </c>
      <c r="C65" s="679"/>
      <c r="D65" s="680"/>
      <c r="E65" s="684" t="s">
        <v>41</v>
      </c>
      <c r="F65" s="685"/>
      <c r="G65" s="686"/>
      <c r="H65" s="684" t="s">
        <v>42</v>
      </c>
      <c r="I65" s="685"/>
      <c r="J65" s="686"/>
      <c r="K65" s="684" t="s">
        <v>43</v>
      </c>
      <c r="L65" s="685"/>
      <c r="M65" s="690" t="s">
        <v>44</v>
      </c>
      <c r="N65" s="690"/>
      <c r="O65" s="690" t="s">
        <v>45</v>
      </c>
      <c r="P65" s="690"/>
      <c r="Q65" s="690"/>
      <c r="R65" s="684" t="s">
        <v>46</v>
      </c>
      <c r="S65" s="686"/>
      <c r="T65" s="684" t="s">
        <v>47</v>
      </c>
      <c r="U65" s="686"/>
      <c r="V65" s="690" t="s">
        <v>48</v>
      </c>
      <c r="W65" s="690"/>
      <c r="X65" s="690" t="s">
        <v>112</v>
      </c>
      <c r="Y65" s="690"/>
      <c r="Z65" s="684" t="s">
        <v>113</v>
      </c>
      <c r="AA65" s="685"/>
      <c r="AB65" s="686"/>
      <c r="AC65" s="697" t="s">
        <v>128</v>
      </c>
      <c r="AD65" s="698"/>
      <c r="AE65" s="684" t="s">
        <v>82</v>
      </c>
      <c r="AF65" s="685"/>
      <c r="AG65" s="686"/>
      <c r="AH65" s="16"/>
      <c r="AI65" s="16"/>
      <c r="AJ65" s="16"/>
      <c r="AK65" s="16"/>
      <c r="AL65" s="16"/>
      <c r="AM65" s="16"/>
      <c r="AN65" s="16"/>
      <c r="AO65" s="16"/>
      <c r="AP65" s="16"/>
      <c r="AQ65" s="654"/>
      <c r="AR65" s="654"/>
      <c r="AS65" s="16"/>
      <c r="AT65" s="16"/>
      <c r="AU65" s="16"/>
      <c r="AV65" s="14"/>
      <c r="AY65" s="79"/>
      <c r="AZ65" s="79"/>
    </row>
    <row r="66" spans="1:52" s="3" customFormat="1" ht="15.6" customHeight="1" x14ac:dyDescent="0.15">
      <c r="A66" s="49"/>
      <c r="B66" s="681"/>
      <c r="C66" s="682"/>
      <c r="D66" s="683"/>
      <c r="E66" s="687"/>
      <c r="F66" s="688"/>
      <c r="G66" s="689"/>
      <c r="H66" s="687"/>
      <c r="I66" s="688"/>
      <c r="J66" s="689"/>
      <c r="K66" s="687"/>
      <c r="L66" s="688"/>
      <c r="M66" s="691"/>
      <c r="N66" s="691"/>
      <c r="O66" s="691"/>
      <c r="P66" s="691"/>
      <c r="Q66" s="691"/>
      <c r="R66" s="687"/>
      <c r="S66" s="689"/>
      <c r="T66" s="687"/>
      <c r="U66" s="689"/>
      <c r="V66" s="691"/>
      <c r="W66" s="691"/>
      <c r="X66" s="691"/>
      <c r="Y66" s="691"/>
      <c r="Z66" s="687"/>
      <c r="AA66" s="688"/>
      <c r="AB66" s="689"/>
      <c r="AC66" s="699"/>
      <c r="AD66" s="700"/>
      <c r="AE66" s="687"/>
      <c r="AF66" s="688"/>
      <c r="AG66" s="689"/>
      <c r="AH66" s="16"/>
      <c r="AI66" s="16"/>
      <c r="AJ66" s="16"/>
      <c r="AK66" s="16"/>
      <c r="AL66" s="16"/>
      <c r="AM66" s="16"/>
      <c r="AN66" s="16"/>
      <c r="AO66" s="16"/>
      <c r="AP66" s="16"/>
      <c r="AQ66" s="654"/>
      <c r="AR66" s="654"/>
      <c r="AS66" s="16"/>
      <c r="AT66" s="16"/>
      <c r="AU66" s="16"/>
      <c r="AV66" s="14"/>
      <c r="AY66" s="79"/>
      <c r="AZ66" s="79"/>
    </row>
    <row r="67" spans="1:52" s="14" customFormat="1" ht="15.6" customHeight="1" x14ac:dyDescent="0.15">
      <c r="A67" s="470"/>
      <c r="B67" s="701" t="s">
        <v>86</v>
      </c>
      <c r="C67" s="702"/>
      <c r="D67" s="703"/>
      <c r="E67" s="667">
        <v>2230</v>
      </c>
      <c r="F67" s="668"/>
      <c r="G67" s="669"/>
      <c r="H67" s="667">
        <v>2342</v>
      </c>
      <c r="I67" s="668"/>
      <c r="J67" s="669"/>
      <c r="K67" s="667">
        <v>114</v>
      </c>
      <c r="L67" s="668"/>
      <c r="M67" s="673">
        <v>602</v>
      </c>
      <c r="N67" s="673"/>
      <c r="O67" s="673">
        <v>2160</v>
      </c>
      <c r="P67" s="673"/>
      <c r="Q67" s="673"/>
      <c r="R67" s="667">
        <v>0</v>
      </c>
      <c r="S67" s="669"/>
      <c r="T67" s="667">
        <v>57</v>
      </c>
      <c r="U67" s="669"/>
      <c r="V67" s="673">
        <v>19</v>
      </c>
      <c r="W67" s="673"/>
      <c r="X67" s="715">
        <v>10</v>
      </c>
      <c r="Y67" s="715"/>
      <c r="Z67" s="717">
        <v>0</v>
      </c>
      <c r="AA67" s="718"/>
      <c r="AB67" s="719"/>
      <c r="AC67" s="717">
        <v>1</v>
      </c>
      <c r="AD67" s="719"/>
      <c r="AE67" s="667">
        <f>SUM(E67:AD68)</f>
        <v>7535</v>
      </c>
      <c r="AF67" s="668"/>
      <c r="AG67" s="669"/>
      <c r="AH67" s="541"/>
      <c r="AI67" s="541"/>
      <c r="AJ67" s="541"/>
      <c r="AK67" s="541"/>
      <c r="AL67" s="541"/>
      <c r="AM67" s="541"/>
      <c r="AN67" s="541"/>
      <c r="AO67" s="541"/>
      <c r="AP67" s="541"/>
      <c r="AQ67" s="654"/>
      <c r="AR67" s="654"/>
      <c r="AS67" s="541"/>
      <c r="AT67" s="541"/>
      <c r="AU67" s="541"/>
      <c r="AY67" s="80"/>
      <c r="AZ67" s="80"/>
    </row>
    <row r="68" spans="1:52" s="14" customFormat="1" ht="15.6" customHeight="1" x14ac:dyDescent="0.15">
      <c r="A68" s="470"/>
      <c r="B68" s="711"/>
      <c r="C68" s="712"/>
      <c r="D68" s="713"/>
      <c r="E68" s="670"/>
      <c r="F68" s="671"/>
      <c r="G68" s="672"/>
      <c r="H68" s="670"/>
      <c r="I68" s="671"/>
      <c r="J68" s="672"/>
      <c r="K68" s="670"/>
      <c r="L68" s="671"/>
      <c r="M68" s="714"/>
      <c r="N68" s="714"/>
      <c r="O68" s="714"/>
      <c r="P68" s="714"/>
      <c r="Q68" s="714"/>
      <c r="R68" s="670"/>
      <c r="S68" s="672"/>
      <c r="T68" s="670"/>
      <c r="U68" s="672"/>
      <c r="V68" s="714"/>
      <c r="W68" s="714"/>
      <c r="X68" s="726"/>
      <c r="Y68" s="726"/>
      <c r="Z68" s="727"/>
      <c r="AA68" s="728"/>
      <c r="AB68" s="729"/>
      <c r="AC68" s="727"/>
      <c r="AD68" s="729"/>
      <c r="AE68" s="670"/>
      <c r="AF68" s="671"/>
      <c r="AG68" s="672"/>
      <c r="AH68" s="541"/>
      <c r="AI68" s="541"/>
      <c r="AJ68" s="541"/>
      <c r="AK68" s="541"/>
      <c r="AL68" s="541"/>
      <c r="AM68" s="541"/>
      <c r="AN68" s="541"/>
      <c r="AO68" s="541"/>
      <c r="AP68" s="541"/>
      <c r="AQ68" s="654"/>
      <c r="AR68" s="654"/>
      <c r="AS68" s="541"/>
      <c r="AT68" s="541"/>
      <c r="AU68" s="541"/>
      <c r="AY68" s="80"/>
      <c r="AZ68" s="80"/>
    </row>
    <row r="69" spans="1:52" s="14" customFormat="1" ht="15.6" customHeight="1" x14ac:dyDescent="0.15">
      <c r="A69" s="470"/>
      <c r="B69" s="701" t="s">
        <v>87</v>
      </c>
      <c r="C69" s="702"/>
      <c r="D69" s="703"/>
      <c r="E69" s="667">
        <v>2833</v>
      </c>
      <c r="F69" s="668"/>
      <c r="G69" s="669"/>
      <c r="H69" s="667">
        <v>2949</v>
      </c>
      <c r="I69" s="668"/>
      <c r="J69" s="669"/>
      <c r="K69" s="667">
        <v>163</v>
      </c>
      <c r="L69" s="668"/>
      <c r="M69" s="673">
        <v>626</v>
      </c>
      <c r="N69" s="673"/>
      <c r="O69" s="673">
        <v>2624</v>
      </c>
      <c r="P69" s="673"/>
      <c r="Q69" s="673"/>
      <c r="R69" s="667">
        <v>0</v>
      </c>
      <c r="S69" s="669"/>
      <c r="T69" s="667">
        <v>66</v>
      </c>
      <c r="U69" s="669"/>
      <c r="V69" s="673">
        <v>19</v>
      </c>
      <c r="W69" s="673"/>
      <c r="X69" s="715">
        <v>10</v>
      </c>
      <c r="Y69" s="715"/>
      <c r="Z69" s="717">
        <v>0</v>
      </c>
      <c r="AA69" s="718"/>
      <c r="AB69" s="719"/>
      <c r="AC69" s="717">
        <v>1</v>
      </c>
      <c r="AD69" s="719"/>
      <c r="AE69" s="723">
        <f>SUM(E69:AC70)</f>
        <v>9291</v>
      </c>
      <c r="AF69" s="724"/>
      <c r="AG69" s="725"/>
      <c r="AH69" s="541"/>
      <c r="AI69" s="541"/>
      <c r="AJ69" s="541"/>
      <c r="AK69" s="541"/>
      <c r="AL69" s="541"/>
      <c r="AM69" s="541"/>
      <c r="AN69" s="541"/>
      <c r="AO69" s="541"/>
      <c r="AP69" s="541"/>
      <c r="AQ69" s="86"/>
      <c r="AR69" s="86"/>
      <c r="AS69" s="541"/>
      <c r="AT69" s="541"/>
      <c r="AU69" s="541"/>
      <c r="AY69" s="80"/>
      <c r="AZ69" s="80"/>
    </row>
    <row r="70" spans="1:52" s="14" customFormat="1" ht="15.6" customHeight="1" thickBot="1" x14ac:dyDescent="0.2">
      <c r="A70" s="16"/>
      <c r="B70" s="704"/>
      <c r="C70" s="705"/>
      <c r="D70" s="706"/>
      <c r="E70" s="707"/>
      <c r="F70" s="708"/>
      <c r="G70" s="709"/>
      <c r="H70" s="707"/>
      <c r="I70" s="708"/>
      <c r="J70" s="709"/>
      <c r="K70" s="707"/>
      <c r="L70" s="708"/>
      <c r="M70" s="710"/>
      <c r="N70" s="710"/>
      <c r="O70" s="710"/>
      <c r="P70" s="710"/>
      <c r="Q70" s="710"/>
      <c r="R70" s="707"/>
      <c r="S70" s="709"/>
      <c r="T70" s="707"/>
      <c r="U70" s="709"/>
      <c r="V70" s="710"/>
      <c r="W70" s="710"/>
      <c r="X70" s="716"/>
      <c r="Y70" s="716"/>
      <c r="Z70" s="720"/>
      <c r="AA70" s="721"/>
      <c r="AB70" s="722"/>
      <c r="AC70" s="720"/>
      <c r="AD70" s="722"/>
      <c r="AE70" s="707"/>
      <c r="AF70" s="708"/>
      <c r="AG70" s="709"/>
      <c r="AH70" s="16"/>
      <c r="AI70" s="16"/>
      <c r="AJ70" s="16"/>
      <c r="AK70" s="16"/>
      <c r="AL70" s="16"/>
      <c r="AM70" s="16"/>
      <c r="AN70" s="16"/>
      <c r="AO70" s="16"/>
      <c r="AP70" s="16"/>
      <c r="AQ70" s="87"/>
      <c r="AR70" s="87"/>
      <c r="AS70" s="16"/>
      <c r="AT70" s="16"/>
      <c r="AU70" s="16"/>
      <c r="AY70" s="80"/>
      <c r="AZ70" s="80"/>
    </row>
    <row r="71" spans="1:52" s="14" customFormat="1" ht="15.6" customHeight="1" thickTop="1" x14ac:dyDescent="0.15">
      <c r="A71" s="16"/>
      <c r="B71" s="874" t="s">
        <v>204</v>
      </c>
      <c r="C71" s="875"/>
      <c r="D71" s="876"/>
      <c r="E71" s="847">
        <v>1815194</v>
      </c>
      <c r="F71" s="848"/>
      <c r="G71" s="849"/>
      <c r="H71" s="847">
        <v>1042131</v>
      </c>
      <c r="I71" s="848"/>
      <c r="J71" s="849"/>
      <c r="K71" s="847">
        <v>17140</v>
      </c>
      <c r="L71" s="848"/>
      <c r="M71" s="855">
        <v>207464</v>
      </c>
      <c r="N71" s="855"/>
      <c r="O71" s="855">
        <v>2887036</v>
      </c>
      <c r="P71" s="855"/>
      <c r="Q71" s="855"/>
      <c r="R71" s="847">
        <v>1155</v>
      </c>
      <c r="S71" s="849"/>
      <c r="T71" s="847">
        <v>11167</v>
      </c>
      <c r="U71" s="849"/>
      <c r="V71" s="855">
        <v>20551</v>
      </c>
      <c r="W71" s="855"/>
      <c r="X71" s="855">
        <v>24936</v>
      </c>
      <c r="Y71" s="855"/>
      <c r="Z71" s="847">
        <v>784</v>
      </c>
      <c r="AA71" s="848"/>
      <c r="AB71" s="849"/>
      <c r="AC71" s="870">
        <v>800</v>
      </c>
      <c r="AD71" s="871"/>
      <c r="AE71" s="847">
        <f>SUM(E71:AD72)</f>
        <v>6028358</v>
      </c>
      <c r="AF71" s="848"/>
      <c r="AG71" s="849"/>
      <c r="AH71" s="16"/>
      <c r="AI71" s="537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Y71" s="80"/>
      <c r="AZ71" s="80"/>
    </row>
    <row r="72" spans="1:52" s="14" customFormat="1" ht="15.6" customHeight="1" x14ac:dyDescent="0.15">
      <c r="A72" s="16"/>
      <c r="B72" s="877"/>
      <c r="C72" s="878"/>
      <c r="D72" s="879"/>
      <c r="E72" s="850"/>
      <c r="F72" s="851"/>
      <c r="G72" s="852"/>
      <c r="H72" s="850"/>
      <c r="I72" s="851"/>
      <c r="J72" s="852"/>
      <c r="K72" s="853"/>
      <c r="L72" s="854"/>
      <c r="M72" s="856"/>
      <c r="N72" s="856"/>
      <c r="O72" s="856"/>
      <c r="P72" s="856"/>
      <c r="Q72" s="856"/>
      <c r="R72" s="850"/>
      <c r="S72" s="852"/>
      <c r="T72" s="850"/>
      <c r="U72" s="852"/>
      <c r="V72" s="856"/>
      <c r="W72" s="856"/>
      <c r="X72" s="856"/>
      <c r="Y72" s="856"/>
      <c r="Z72" s="853"/>
      <c r="AA72" s="854"/>
      <c r="AB72" s="864"/>
      <c r="AC72" s="872"/>
      <c r="AD72" s="873"/>
      <c r="AE72" s="853"/>
      <c r="AF72" s="854"/>
      <c r="AG72" s="864"/>
      <c r="AH72" s="16"/>
      <c r="AI72" s="537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Y72" s="80"/>
      <c r="AZ72" s="80"/>
    </row>
    <row r="73" spans="1:52" s="14" customFormat="1" ht="15.6" customHeight="1" x14ac:dyDescent="0.15">
      <c r="A73" s="16"/>
      <c r="B73" s="865" t="s">
        <v>30</v>
      </c>
      <c r="C73" s="866"/>
      <c r="D73" s="867"/>
      <c r="E73" s="858">
        <v>0.30120000000000002</v>
      </c>
      <c r="F73" s="859"/>
      <c r="G73" s="860"/>
      <c r="H73" s="858">
        <f>H71/AE71</f>
        <v>0.17287145189452915</v>
      </c>
      <c r="I73" s="859"/>
      <c r="J73" s="860"/>
      <c r="K73" s="858">
        <f>K71/AE71</f>
        <v>2.8432286204634828E-3</v>
      </c>
      <c r="L73" s="860"/>
      <c r="M73" s="858">
        <f>M71/AE71</f>
        <v>3.4414678093105951E-2</v>
      </c>
      <c r="N73" s="859"/>
      <c r="O73" s="858">
        <f>O71/AE71</f>
        <v>0.47890918223502982</v>
      </c>
      <c r="P73" s="859"/>
      <c r="Q73" s="860"/>
      <c r="R73" s="868">
        <f>R71/AE71</f>
        <v>1.9159446071384612E-4</v>
      </c>
      <c r="S73" s="869"/>
      <c r="T73" s="868">
        <f>T71/AE71</f>
        <v>1.8524115522004499E-3</v>
      </c>
      <c r="U73" s="869"/>
      <c r="V73" s="857">
        <f>V71/AE71</f>
        <v>3.4090543395067113E-3</v>
      </c>
      <c r="W73" s="857"/>
      <c r="X73" s="857">
        <f>X71/AE71</f>
        <v>4.1364497596194519E-3</v>
      </c>
      <c r="Y73" s="857"/>
      <c r="Z73" s="858">
        <f>Z71/AE71</f>
        <v>1.300519975754592E-4</v>
      </c>
      <c r="AA73" s="859"/>
      <c r="AB73" s="860"/>
      <c r="AC73" s="858">
        <f>AC71/AE71</f>
        <v>1.3270611997495837E-4</v>
      </c>
      <c r="AD73" s="860"/>
      <c r="AE73" s="861">
        <v>1</v>
      </c>
      <c r="AF73" s="862"/>
      <c r="AG73" s="863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Y73" s="80"/>
      <c r="AZ73" s="80"/>
    </row>
    <row r="74" spans="1:52" s="3" customFormat="1" ht="15.6" customHeight="1" x14ac:dyDescent="0.15">
      <c r="A74" s="49"/>
      <c r="B74" s="469"/>
      <c r="C74" s="466"/>
      <c r="D74" s="466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70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4"/>
      <c r="AY74" s="79"/>
      <c r="AZ74" s="79"/>
    </row>
    <row r="75" spans="1:52" s="3" customFormat="1" ht="15.6" customHeight="1" x14ac:dyDescent="0.15">
      <c r="A75" s="50" t="s">
        <v>71</v>
      </c>
      <c r="B75" s="49"/>
      <c r="C75" s="49"/>
      <c r="D75" s="49"/>
      <c r="E75" s="49"/>
      <c r="F75" s="49"/>
      <c r="G75" s="49"/>
      <c r="H75" s="49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462" t="s">
        <v>33</v>
      </c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4"/>
      <c r="AY75" s="79"/>
      <c r="AZ75" s="79"/>
    </row>
    <row r="76" spans="1:52" s="3" customFormat="1" ht="15.6" customHeight="1" x14ac:dyDescent="0.15">
      <c r="A76" s="49"/>
      <c r="B76" s="730" t="s">
        <v>34</v>
      </c>
      <c r="C76" s="730"/>
      <c r="D76" s="730"/>
      <c r="E76" s="730"/>
      <c r="F76" s="730"/>
      <c r="G76" s="730"/>
      <c r="H76" s="730" t="s">
        <v>35</v>
      </c>
      <c r="I76" s="730"/>
      <c r="J76" s="730"/>
      <c r="K76" s="730"/>
      <c r="L76" s="730"/>
      <c r="M76" s="730"/>
      <c r="N76" s="730"/>
      <c r="O76" s="730"/>
      <c r="P76" s="730"/>
      <c r="Q76" s="730"/>
      <c r="R76" s="730"/>
      <c r="S76" s="730"/>
      <c r="T76" s="730"/>
      <c r="U76" s="730"/>
      <c r="V76" s="730"/>
      <c r="W76" s="730"/>
      <c r="X76" s="730"/>
      <c r="Y76" s="730"/>
      <c r="Z76" s="549" t="s">
        <v>36</v>
      </c>
      <c r="AA76" s="550"/>
      <c r="AB76" s="550"/>
      <c r="AC76" s="550"/>
      <c r="AD76" s="550"/>
      <c r="AE76" s="550"/>
      <c r="AF76" s="550"/>
      <c r="AG76" s="551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4"/>
      <c r="AY76" s="79"/>
      <c r="AZ76" s="79"/>
    </row>
    <row r="77" spans="1:52" s="3" customFormat="1" ht="15.6" customHeight="1" x14ac:dyDescent="0.15">
      <c r="A77" s="49"/>
      <c r="B77" s="730"/>
      <c r="C77" s="730"/>
      <c r="D77" s="730"/>
      <c r="E77" s="730"/>
      <c r="F77" s="730"/>
      <c r="G77" s="730"/>
      <c r="H77" s="730" t="s">
        <v>37</v>
      </c>
      <c r="I77" s="730"/>
      <c r="J77" s="730"/>
      <c r="K77" s="730"/>
      <c r="L77" s="730"/>
      <c r="M77" s="730"/>
      <c r="N77" s="730" t="s">
        <v>38</v>
      </c>
      <c r="O77" s="730"/>
      <c r="P77" s="730"/>
      <c r="Q77" s="730"/>
      <c r="R77" s="730"/>
      <c r="S77" s="730"/>
      <c r="T77" s="730" t="s">
        <v>39</v>
      </c>
      <c r="U77" s="730"/>
      <c r="V77" s="730"/>
      <c r="W77" s="730"/>
      <c r="X77" s="730"/>
      <c r="Y77" s="730"/>
      <c r="Z77" s="552"/>
      <c r="AA77" s="553"/>
      <c r="AB77" s="553"/>
      <c r="AC77" s="553"/>
      <c r="AD77" s="553"/>
      <c r="AE77" s="553"/>
      <c r="AF77" s="553"/>
      <c r="AG77" s="554"/>
      <c r="AH77" s="16"/>
      <c r="AI77" s="16"/>
      <c r="AJ77" s="16"/>
      <c r="AK77" s="16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Y77" s="79"/>
      <c r="AZ77" s="79"/>
    </row>
    <row r="78" spans="1:52" s="3" customFormat="1" ht="15.6" customHeight="1" x14ac:dyDescent="0.15">
      <c r="A78" s="49"/>
      <c r="B78" s="731" t="s">
        <v>137</v>
      </c>
      <c r="C78" s="732"/>
      <c r="D78" s="732"/>
      <c r="E78" s="732"/>
      <c r="F78" s="732"/>
      <c r="G78" s="733"/>
      <c r="H78" s="734">
        <v>5300000</v>
      </c>
      <c r="I78" s="735"/>
      <c r="J78" s="735"/>
      <c r="K78" s="735"/>
      <c r="L78" s="735"/>
      <c r="M78" s="736"/>
      <c r="N78" s="737">
        <v>346000</v>
      </c>
      <c r="O78" s="738"/>
      <c r="P78" s="738"/>
      <c r="Q78" s="738"/>
      <c r="R78" s="738"/>
      <c r="S78" s="739"/>
      <c r="T78" s="734">
        <f t="shared" ref="T78:T80" si="1">SUM(H78:S78)</f>
        <v>5646000</v>
      </c>
      <c r="U78" s="735"/>
      <c r="V78" s="735"/>
      <c r="W78" s="735"/>
      <c r="X78" s="735"/>
      <c r="Y78" s="736"/>
      <c r="Z78" s="740">
        <v>5636644</v>
      </c>
      <c r="AA78" s="741"/>
      <c r="AB78" s="741"/>
      <c r="AC78" s="741"/>
      <c r="AD78" s="741"/>
      <c r="AE78" s="741"/>
      <c r="AF78" s="741"/>
      <c r="AG78" s="742"/>
      <c r="AH78" s="16"/>
      <c r="AI78" s="16"/>
      <c r="AJ78" s="16"/>
      <c r="AK78" s="16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Y78" s="79"/>
      <c r="AZ78" s="79"/>
    </row>
    <row r="79" spans="1:52" s="3" customFormat="1" ht="15.6" customHeight="1" x14ac:dyDescent="0.15">
      <c r="A79" s="49"/>
      <c r="B79" s="731" t="s">
        <v>138</v>
      </c>
      <c r="C79" s="732"/>
      <c r="D79" s="732"/>
      <c r="E79" s="732"/>
      <c r="F79" s="732"/>
      <c r="G79" s="733"/>
      <c r="H79" s="734">
        <v>5310000</v>
      </c>
      <c r="I79" s="735"/>
      <c r="J79" s="735"/>
      <c r="K79" s="735"/>
      <c r="L79" s="735"/>
      <c r="M79" s="736"/>
      <c r="N79" s="743">
        <v>197000</v>
      </c>
      <c r="O79" s="744"/>
      <c r="P79" s="744"/>
      <c r="Q79" s="744"/>
      <c r="R79" s="744"/>
      <c r="S79" s="745"/>
      <c r="T79" s="734">
        <f t="shared" si="1"/>
        <v>5507000</v>
      </c>
      <c r="U79" s="735"/>
      <c r="V79" s="735"/>
      <c r="W79" s="735"/>
      <c r="X79" s="735"/>
      <c r="Y79" s="736"/>
      <c r="Z79" s="734">
        <v>5500325</v>
      </c>
      <c r="AA79" s="735"/>
      <c r="AB79" s="735"/>
      <c r="AC79" s="735"/>
      <c r="AD79" s="735"/>
      <c r="AE79" s="735"/>
      <c r="AF79" s="735"/>
      <c r="AG79" s="736"/>
      <c r="AH79" s="16"/>
      <c r="AI79" s="16"/>
      <c r="AJ79" s="16"/>
      <c r="AK79" s="16"/>
      <c r="AL79" s="16"/>
      <c r="AM79" s="16"/>
      <c r="AN79" s="16"/>
      <c r="AO79" s="16"/>
      <c r="AP79" s="14"/>
      <c r="AQ79" s="14"/>
      <c r="AR79" s="14"/>
      <c r="AS79" s="14"/>
      <c r="AT79" s="14"/>
      <c r="AU79" s="14"/>
      <c r="AV79" s="14"/>
      <c r="AY79" s="79"/>
      <c r="AZ79" s="79"/>
    </row>
    <row r="80" spans="1:52" s="3" customFormat="1" ht="15.6" customHeight="1" x14ac:dyDescent="0.15">
      <c r="A80" s="49"/>
      <c r="B80" s="746" t="s">
        <v>132</v>
      </c>
      <c r="C80" s="746"/>
      <c r="D80" s="746"/>
      <c r="E80" s="746"/>
      <c r="F80" s="746"/>
      <c r="G80" s="746"/>
      <c r="H80" s="747">
        <v>5510000</v>
      </c>
      <c r="I80" s="748"/>
      <c r="J80" s="748"/>
      <c r="K80" s="748"/>
      <c r="L80" s="748"/>
      <c r="M80" s="749"/>
      <c r="N80" s="743">
        <v>388000</v>
      </c>
      <c r="O80" s="744"/>
      <c r="P80" s="744"/>
      <c r="Q80" s="744"/>
      <c r="R80" s="744"/>
      <c r="S80" s="745"/>
      <c r="T80" s="747">
        <f t="shared" si="1"/>
        <v>5898000</v>
      </c>
      <c r="U80" s="748"/>
      <c r="V80" s="748"/>
      <c r="W80" s="748"/>
      <c r="X80" s="748"/>
      <c r="Y80" s="749"/>
      <c r="Z80" s="747">
        <v>5894929</v>
      </c>
      <c r="AA80" s="748"/>
      <c r="AB80" s="748"/>
      <c r="AC80" s="748"/>
      <c r="AD80" s="748"/>
      <c r="AE80" s="748"/>
      <c r="AF80" s="748"/>
      <c r="AG80" s="749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4"/>
      <c r="AY80" s="79"/>
      <c r="AZ80" s="79"/>
    </row>
    <row r="81" spans="1:54" s="14" customFormat="1" ht="15.6" customHeight="1" x14ac:dyDescent="0.15">
      <c r="A81" s="16"/>
      <c r="B81" s="746" t="s">
        <v>145</v>
      </c>
      <c r="C81" s="746"/>
      <c r="D81" s="746"/>
      <c r="E81" s="746"/>
      <c r="F81" s="746"/>
      <c r="G81" s="746"/>
      <c r="H81" s="747">
        <v>5596000</v>
      </c>
      <c r="I81" s="748"/>
      <c r="J81" s="748"/>
      <c r="K81" s="748"/>
      <c r="L81" s="748"/>
      <c r="M81" s="749"/>
      <c r="N81" s="743">
        <v>448000</v>
      </c>
      <c r="O81" s="744"/>
      <c r="P81" s="744"/>
      <c r="Q81" s="744"/>
      <c r="R81" s="744"/>
      <c r="S81" s="745"/>
      <c r="T81" s="747">
        <f>SUM(H81:S81)</f>
        <v>6044000</v>
      </c>
      <c r="U81" s="748"/>
      <c r="V81" s="748"/>
      <c r="W81" s="748"/>
      <c r="X81" s="748"/>
      <c r="Y81" s="749"/>
      <c r="Z81" s="747">
        <v>6030198</v>
      </c>
      <c r="AA81" s="748"/>
      <c r="AB81" s="748"/>
      <c r="AC81" s="748"/>
      <c r="AD81" s="748"/>
      <c r="AE81" s="748"/>
      <c r="AF81" s="748"/>
      <c r="AG81" s="749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Y81" s="80"/>
      <c r="AZ81" s="80"/>
    </row>
    <row r="82" spans="1:54" s="14" customFormat="1" ht="15.6" customHeight="1" x14ac:dyDescent="0.15">
      <c r="A82" s="16"/>
      <c r="B82" s="746" t="s">
        <v>177</v>
      </c>
      <c r="C82" s="746"/>
      <c r="D82" s="746"/>
      <c r="E82" s="746"/>
      <c r="F82" s="746"/>
      <c r="G82" s="746"/>
      <c r="H82" s="747">
        <v>5894929</v>
      </c>
      <c r="I82" s="748"/>
      <c r="J82" s="748"/>
      <c r="K82" s="748"/>
      <c r="L82" s="748"/>
      <c r="M82" s="749"/>
      <c r="N82" s="743">
        <v>213071</v>
      </c>
      <c r="O82" s="744"/>
      <c r="P82" s="744"/>
      <c r="Q82" s="744"/>
      <c r="R82" s="744"/>
      <c r="S82" s="745"/>
      <c r="T82" s="747">
        <f>SUM(H82:S82)</f>
        <v>6108000</v>
      </c>
      <c r="U82" s="748"/>
      <c r="V82" s="748"/>
      <c r="W82" s="748"/>
      <c r="X82" s="748"/>
      <c r="Y82" s="749"/>
      <c r="Z82" s="844"/>
      <c r="AA82" s="845"/>
      <c r="AB82" s="845"/>
      <c r="AC82" s="845"/>
      <c r="AD82" s="845"/>
      <c r="AE82" s="845"/>
      <c r="AF82" s="845"/>
      <c r="AG82" s="84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Y82" s="80"/>
      <c r="AZ82" s="80"/>
    </row>
    <row r="83" spans="1:54" s="3" customFormat="1" ht="15.6" customHeight="1" x14ac:dyDescent="0.15">
      <c r="A83" s="49"/>
      <c r="B83" s="466"/>
      <c r="C83" s="466"/>
      <c r="D83" s="466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4"/>
      <c r="AY83" s="79"/>
      <c r="AZ83" s="79"/>
    </row>
    <row r="84" spans="1:54" s="1" customFormat="1" ht="15.6" customHeight="1" x14ac:dyDescent="0.15">
      <c r="A84" s="49" t="s">
        <v>49</v>
      </c>
      <c r="B84" s="49"/>
      <c r="C84" s="49"/>
      <c r="D84" s="49"/>
      <c r="E84" s="49"/>
      <c r="F84" s="49"/>
      <c r="G84" s="49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54" t="s">
        <v>120</v>
      </c>
      <c r="AB84" s="49"/>
      <c r="AC84" s="49"/>
      <c r="AD84" s="49"/>
      <c r="AE84" s="49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3"/>
      <c r="AY84" s="439"/>
      <c r="AZ84" s="439"/>
    </row>
    <row r="85" spans="1:54" s="1" customFormat="1" ht="15.6" customHeight="1" x14ac:dyDescent="0.15">
      <c r="A85" s="49"/>
      <c r="B85" s="730" t="s">
        <v>78</v>
      </c>
      <c r="C85" s="730"/>
      <c r="D85" s="730"/>
      <c r="E85" s="730"/>
      <c r="F85" s="730"/>
      <c r="G85" s="751" t="s">
        <v>127</v>
      </c>
      <c r="H85" s="752"/>
      <c r="I85" s="752"/>
      <c r="J85" s="752"/>
      <c r="K85" s="753"/>
      <c r="L85" s="751" t="s">
        <v>138</v>
      </c>
      <c r="M85" s="752"/>
      <c r="N85" s="752"/>
      <c r="O85" s="752"/>
      <c r="P85" s="753"/>
      <c r="Q85" s="751" t="s">
        <v>132</v>
      </c>
      <c r="R85" s="752"/>
      <c r="S85" s="752"/>
      <c r="T85" s="752"/>
      <c r="U85" s="753"/>
      <c r="V85" s="754" t="s">
        <v>145</v>
      </c>
      <c r="W85" s="730"/>
      <c r="X85" s="730"/>
      <c r="Y85" s="730"/>
      <c r="Z85" s="730"/>
      <c r="AA85" s="754" t="s">
        <v>177</v>
      </c>
      <c r="AB85" s="730"/>
      <c r="AC85" s="730"/>
      <c r="AD85" s="730"/>
      <c r="AE85" s="730"/>
      <c r="AF85" s="16"/>
      <c r="AG85" s="16"/>
      <c r="AH85" s="16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Y85" s="439"/>
      <c r="AZ85" s="439"/>
    </row>
    <row r="86" spans="1:54" s="1" customFormat="1" ht="15.6" customHeight="1" x14ac:dyDescent="0.15">
      <c r="A86" s="49"/>
      <c r="B86" s="756" t="s">
        <v>77</v>
      </c>
      <c r="C86" s="756"/>
      <c r="D86" s="756"/>
      <c r="E86" s="756"/>
      <c r="F86" s="756"/>
      <c r="G86" s="757">
        <f>990+98</f>
        <v>1088</v>
      </c>
      <c r="H86" s="758"/>
      <c r="I86" s="758"/>
      <c r="J86" s="758"/>
      <c r="K86" s="759"/>
      <c r="L86" s="757">
        <v>1174</v>
      </c>
      <c r="M86" s="758"/>
      <c r="N86" s="758"/>
      <c r="O86" s="758"/>
      <c r="P86" s="759"/>
      <c r="Q86" s="757">
        <v>1207</v>
      </c>
      <c r="R86" s="758"/>
      <c r="S86" s="758"/>
      <c r="T86" s="758"/>
      <c r="U86" s="759"/>
      <c r="V86" s="763">
        <v>1103</v>
      </c>
      <c r="W86" s="763"/>
      <c r="X86" s="763"/>
      <c r="Y86" s="763"/>
      <c r="Z86" s="763"/>
      <c r="AA86" s="764">
        <f>77+122+80+81+103+93+102+107+85+89</f>
        <v>939</v>
      </c>
      <c r="AB86" s="764"/>
      <c r="AC86" s="764"/>
      <c r="AD86" s="764"/>
      <c r="AE86" s="764"/>
      <c r="AF86" s="16"/>
      <c r="AG86" s="16"/>
      <c r="AH86" s="16"/>
      <c r="AI86" s="755"/>
      <c r="AJ86" s="755"/>
      <c r="AK86" s="755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Y86" s="439"/>
      <c r="AZ86" s="439"/>
    </row>
    <row r="87" spans="1:54" s="1" customFormat="1" ht="15.6" customHeight="1" x14ac:dyDescent="0.15">
      <c r="A87" s="49"/>
      <c r="B87" s="756" t="s">
        <v>76</v>
      </c>
      <c r="C87" s="756"/>
      <c r="D87" s="756"/>
      <c r="E87" s="756"/>
      <c r="F87" s="756"/>
      <c r="G87" s="757">
        <v>91</v>
      </c>
      <c r="H87" s="758"/>
      <c r="I87" s="758"/>
      <c r="J87" s="758"/>
      <c r="K87" s="759"/>
      <c r="L87" s="757">
        <f>L86/12</f>
        <v>97.833333333333329</v>
      </c>
      <c r="M87" s="758"/>
      <c r="N87" s="758"/>
      <c r="O87" s="758"/>
      <c r="P87" s="759"/>
      <c r="Q87" s="757">
        <f>Q86/12</f>
        <v>100.58333333333333</v>
      </c>
      <c r="R87" s="758"/>
      <c r="S87" s="758"/>
      <c r="T87" s="758"/>
      <c r="U87" s="759"/>
      <c r="V87" s="757">
        <f>V86/12</f>
        <v>91.916666666666671</v>
      </c>
      <c r="W87" s="758"/>
      <c r="X87" s="758"/>
      <c r="Y87" s="758"/>
      <c r="Z87" s="759"/>
      <c r="AA87" s="760">
        <f>AA86/10</f>
        <v>93.9</v>
      </c>
      <c r="AB87" s="761"/>
      <c r="AC87" s="761"/>
      <c r="AD87" s="761"/>
      <c r="AE87" s="762"/>
      <c r="AF87" s="16"/>
      <c r="AG87" s="16"/>
      <c r="AH87" s="16"/>
      <c r="AI87" s="889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Y87" s="439"/>
      <c r="AZ87" s="439"/>
    </row>
    <row r="88" spans="1:54" s="1" customFormat="1" ht="15.6" customHeight="1" x14ac:dyDescent="0.15">
      <c r="A88" s="49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Y88" s="439"/>
      <c r="AZ88" s="439"/>
    </row>
    <row r="89" spans="1:54" s="1" customFormat="1" ht="15.6" customHeight="1" x14ac:dyDescent="0.15">
      <c r="A89" s="50" t="s">
        <v>63</v>
      </c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16"/>
      <c r="U89" s="16"/>
      <c r="V89" s="16"/>
      <c r="W89" s="16"/>
      <c r="X89" s="16"/>
      <c r="Y89" s="16"/>
      <c r="AA89" s="444" t="s">
        <v>120</v>
      </c>
      <c r="AB89" s="444"/>
      <c r="AC89" s="444"/>
      <c r="AD89" s="444"/>
      <c r="AE89" s="444"/>
      <c r="AF89" s="16"/>
      <c r="AG89" s="16"/>
      <c r="AH89" s="16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Y89" s="439"/>
      <c r="AZ89" s="439"/>
    </row>
    <row r="90" spans="1:54" s="1" customFormat="1" ht="15.6" customHeight="1" x14ac:dyDescent="0.15">
      <c r="A90" s="49"/>
      <c r="B90" s="765" t="s">
        <v>70</v>
      </c>
      <c r="C90" s="766"/>
      <c r="D90" s="767"/>
      <c r="E90" s="765" t="s">
        <v>50</v>
      </c>
      <c r="F90" s="766"/>
      <c r="G90" s="766"/>
      <c r="H90" s="766"/>
      <c r="I90" s="767"/>
      <c r="J90" s="751" t="s">
        <v>133</v>
      </c>
      <c r="K90" s="752"/>
      <c r="L90" s="752"/>
      <c r="M90" s="752"/>
      <c r="N90" s="752"/>
      <c r="O90" s="752"/>
      <c r="P90" s="752"/>
      <c r="Q90" s="753"/>
      <c r="R90" s="751" t="s">
        <v>146</v>
      </c>
      <c r="S90" s="752"/>
      <c r="T90" s="752"/>
      <c r="U90" s="752"/>
      <c r="V90" s="752"/>
      <c r="W90" s="752"/>
      <c r="X90" s="752"/>
      <c r="Y90" s="753"/>
      <c r="Z90" s="751" t="s">
        <v>178</v>
      </c>
      <c r="AA90" s="752"/>
      <c r="AB90" s="752"/>
      <c r="AC90" s="752"/>
      <c r="AD90" s="752"/>
      <c r="AE90" s="752"/>
      <c r="AF90" s="752"/>
      <c r="AG90" s="753"/>
      <c r="AH90" s="16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Y90" s="439"/>
      <c r="AZ90" s="439"/>
    </row>
    <row r="91" spans="1:54" s="1" customFormat="1" ht="15.6" customHeight="1" x14ac:dyDescent="0.15">
      <c r="A91" s="49"/>
      <c r="B91" s="785"/>
      <c r="C91" s="786"/>
      <c r="D91" s="787"/>
      <c r="E91" s="785"/>
      <c r="F91" s="786"/>
      <c r="G91" s="786"/>
      <c r="H91" s="786"/>
      <c r="I91" s="787"/>
      <c r="J91" s="788" t="s">
        <v>51</v>
      </c>
      <c r="K91" s="788"/>
      <c r="L91" s="788"/>
      <c r="M91" s="788"/>
      <c r="N91" s="765" t="s">
        <v>30</v>
      </c>
      <c r="O91" s="766"/>
      <c r="P91" s="766"/>
      <c r="Q91" s="767"/>
      <c r="R91" s="788" t="s">
        <v>51</v>
      </c>
      <c r="S91" s="788"/>
      <c r="T91" s="788"/>
      <c r="U91" s="788"/>
      <c r="V91" s="765" t="s">
        <v>30</v>
      </c>
      <c r="W91" s="766"/>
      <c r="X91" s="766"/>
      <c r="Y91" s="767"/>
      <c r="Z91" s="788" t="s">
        <v>51</v>
      </c>
      <c r="AA91" s="788"/>
      <c r="AB91" s="788"/>
      <c r="AC91" s="788"/>
      <c r="AD91" s="765" t="s">
        <v>30</v>
      </c>
      <c r="AE91" s="766"/>
      <c r="AF91" s="766"/>
      <c r="AG91" s="767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3"/>
      <c r="AY91" s="439"/>
      <c r="AZ91" s="439"/>
    </row>
    <row r="92" spans="1:54" s="1" customFormat="1" ht="15.6" customHeight="1" x14ac:dyDescent="0.15">
      <c r="A92" s="52"/>
      <c r="B92" s="768" t="s">
        <v>74</v>
      </c>
      <c r="C92" s="769"/>
      <c r="D92" s="770"/>
      <c r="E92" s="777" t="s">
        <v>52</v>
      </c>
      <c r="F92" s="777"/>
      <c r="G92" s="777"/>
      <c r="H92" s="777"/>
      <c r="I92" s="777"/>
      <c r="J92" s="778">
        <v>193</v>
      </c>
      <c r="K92" s="778"/>
      <c r="L92" s="778"/>
      <c r="M92" s="778"/>
      <c r="N92" s="779">
        <f>J92/SUM(J92:M96)</f>
        <v>0.15990057995028997</v>
      </c>
      <c r="O92" s="779"/>
      <c r="P92" s="779"/>
      <c r="Q92" s="779"/>
      <c r="R92" s="780">
        <v>206</v>
      </c>
      <c r="S92" s="778"/>
      <c r="T92" s="778"/>
      <c r="U92" s="778"/>
      <c r="V92" s="779">
        <f>R92/V86</f>
        <v>0.18676337262012693</v>
      </c>
      <c r="W92" s="779"/>
      <c r="X92" s="779"/>
      <c r="Y92" s="779"/>
      <c r="Z92" s="781">
        <f>13+27+18+18+18+12+14+24+16+24</f>
        <v>184</v>
      </c>
      <c r="AA92" s="782"/>
      <c r="AB92" s="782"/>
      <c r="AC92" s="782"/>
      <c r="AD92" s="823">
        <f>Z92/AA86</f>
        <v>0.1959531416400426</v>
      </c>
      <c r="AE92" s="823"/>
      <c r="AF92" s="823"/>
      <c r="AG92" s="823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3"/>
      <c r="AY92" s="789"/>
      <c r="AZ92" s="789"/>
    </row>
    <row r="93" spans="1:54" s="1" customFormat="1" ht="15.6" customHeight="1" x14ac:dyDescent="0.15">
      <c r="A93" s="52"/>
      <c r="B93" s="771"/>
      <c r="C93" s="772"/>
      <c r="D93" s="773"/>
      <c r="E93" s="784" t="s">
        <v>53</v>
      </c>
      <c r="F93" s="784"/>
      <c r="G93" s="784"/>
      <c r="H93" s="784"/>
      <c r="I93" s="784"/>
      <c r="J93" s="790">
        <v>600</v>
      </c>
      <c r="K93" s="790"/>
      <c r="L93" s="790"/>
      <c r="M93" s="790"/>
      <c r="N93" s="791">
        <f>J93/SUM(J92:M96)</f>
        <v>0.4971002485501243</v>
      </c>
      <c r="O93" s="791"/>
      <c r="P93" s="791"/>
      <c r="Q93" s="791"/>
      <c r="R93" s="792">
        <v>391</v>
      </c>
      <c r="S93" s="790"/>
      <c r="T93" s="790"/>
      <c r="U93" s="790"/>
      <c r="V93" s="793">
        <f>R93/V86</f>
        <v>0.35448776065276516</v>
      </c>
      <c r="W93" s="794"/>
      <c r="X93" s="794"/>
      <c r="Y93" s="795"/>
      <c r="Z93" s="796">
        <f>42+50+26+32+39+40+51+37+36+36</f>
        <v>389</v>
      </c>
      <c r="AA93" s="797"/>
      <c r="AB93" s="797"/>
      <c r="AC93" s="797"/>
      <c r="AD93" s="783">
        <f>Z93/AA86</f>
        <v>0.41427050053248138</v>
      </c>
      <c r="AE93" s="783"/>
      <c r="AF93" s="783"/>
      <c r="AG93" s="783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3"/>
      <c r="AY93" s="789"/>
      <c r="AZ93" s="789"/>
    </row>
    <row r="94" spans="1:54" s="1" customFormat="1" ht="15.6" customHeight="1" x14ac:dyDescent="0.15">
      <c r="A94" s="52"/>
      <c r="B94" s="771"/>
      <c r="C94" s="772"/>
      <c r="D94" s="773"/>
      <c r="E94" s="784" t="s">
        <v>54</v>
      </c>
      <c r="F94" s="784"/>
      <c r="G94" s="784"/>
      <c r="H94" s="784"/>
      <c r="I94" s="784"/>
      <c r="J94" s="790">
        <v>20</v>
      </c>
      <c r="K94" s="790"/>
      <c r="L94" s="790"/>
      <c r="M94" s="790"/>
      <c r="N94" s="791">
        <f>J94/SUM(J92:M96)</f>
        <v>1.6570008285004142E-2</v>
      </c>
      <c r="O94" s="791"/>
      <c r="P94" s="791"/>
      <c r="Q94" s="791"/>
      <c r="R94" s="792">
        <v>15</v>
      </c>
      <c r="S94" s="790"/>
      <c r="T94" s="790"/>
      <c r="U94" s="790"/>
      <c r="V94" s="793">
        <f>R94/V86</f>
        <v>1.3599274705349048E-2</v>
      </c>
      <c r="W94" s="794"/>
      <c r="X94" s="794"/>
      <c r="Y94" s="795"/>
      <c r="Z94" s="796">
        <f>2+0+4+0+0+0+1+0+2+1</f>
        <v>10</v>
      </c>
      <c r="AA94" s="797"/>
      <c r="AB94" s="797"/>
      <c r="AC94" s="797"/>
      <c r="AD94" s="783">
        <f>Z94/AA86</f>
        <v>1.0649627263045794E-2</v>
      </c>
      <c r="AE94" s="783"/>
      <c r="AF94" s="783"/>
      <c r="AG94" s="783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3"/>
      <c r="AY94" s="789"/>
      <c r="AZ94" s="789"/>
    </row>
    <row r="95" spans="1:54" s="1" customFormat="1" ht="15.6" customHeight="1" x14ac:dyDescent="0.15">
      <c r="A95" s="52"/>
      <c r="B95" s="771"/>
      <c r="C95" s="772"/>
      <c r="D95" s="773"/>
      <c r="E95" s="798" t="s">
        <v>55</v>
      </c>
      <c r="F95" s="798"/>
      <c r="G95" s="798"/>
      <c r="H95" s="798"/>
      <c r="I95" s="798"/>
      <c r="J95" s="790">
        <v>0</v>
      </c>
      <c r="K95" s="790"/>
      <c r="L95" s="790"/>
      <c r="M95" s="790"/>
      <c r="N95" s="791">
        <f>J95/SUM(J92:M96)</f>
        <v>0</v>
      </c>
      <c r="O95" s="791"/>
      <c r="P95" s="791"/>
      <c r="Q95" s="791"/>
      <c r="R95" s="792">
        <v>0</v>
      </c>
      <c r="S95" s="790"/>
      <c r="T95" s="790"/>
      <c r="U95" s="790"/>
      <c r="V95" s="793">
        <v>0</v>
      </c>
      <c r="W95" s="794"/>
      <c r="X95" s="794"/>
      <c r="Y95" s="795"/>
      <c r="Z95" s="796">
        <f>0+0+0+0+0+0+0+0+0+0</f>
        <v>0</v>
      </c>
      <c r="AA95" s="797"/>
      <c r="AB95" s="797"/>
      <c r="AC95" s="797"/>
      <c r="AD95" s="783">
        <v>0</v>
      </c>
      <c r="AE95" s="783"/>
      <c r="AF95" s="783"/>
      <c r="AG95" s="783"/>
      <c r="AH95" s="13"/>
      <c r="AI95" s="16"/>
      <c r="AJ95" s="16"/>
      <c r="AK95" s="799"/>
      <c r="AL95" s="799"/>
      <c r="AM95" s="799"/>
      <c r="AN95" s="13"/>
      <c r="AO95" s="13"/>
      <c r="AP95" s="72"/>
      <c r="AQ95" s="72"/>
      <c r="AR95" s="72"/>
      <c r="AS95" s="72"/>
      <c r="AT95" s="72"/>
      <c r="AU95" s="72"/>
      <c r="AV95" s="72"/>
      <c r="AW95" s="73"/>
      <c r="AX95" s="73"/>
      <c r="AY95" s="789"/>
      <c r="AZ95" s="789"/>
      <c r="BA95" s="73"/>
    </row>
    <row r="96" spans="1:54" s="1" customFormat="1" ht="15.6" customHeight="1" x14ac:dyDescent="0.15">
      <c r="A96" s="52"/>
      <c r="B96" s="774"/>
      <c r="C96" s="775"/>
      <c r="D96" s="776"/>
      <c r="E96" s="805" t="s">
        <v>56</v>
      </c>
      <c r="F96" s="805"/>
      <c r="G96" s="805"/>
      <c r="H96" s="805"/>
      <c r="I96" s="805"/>
      <c r="J96" s="806">
        <v>394</v>
      </c>
      <c r="K96" s="806"/>
      <c r="L96" s="806"/>
      <c r="M96" s="806"/>
      <c r="N96" s="807">
        <v>0.32600000000000001</v>
      </c>
      <c r="O96" s="807"/>
      <c r="P96" s="807"/>
      <c r="Q96" s="807"/>
      <c r="R96" s="808">
        <v>491</v>
      </c>
      <c r="S96" s="806"/>
      <c r="T96" s="806"/>
      <c r="U96" s="806"/>
      <c r="V96" s="809">
        <f>R96/V86</f>
        <v>0.44514959202175886</v>
      </c>
      <c r="W96" s="810"/>
      <c r="X96" s="810"/>
      <c r="Y96" s="811"/>
      <c r="Z96" s="812">
        <f>20+45+32+31+46+41+36+46+31+28</f>
        <v>356</v>
      </c>
      <c r="AA96" s="813"/>
      <c r="AB96" s="813"/>
      <c r="AC96" s="813"/>
      <c r="AD96" s="783">
        <f>Z96/AA86</f>
        <v>0.37912673056443025</v>
      </c>
      <c r="AE96" s="783"/>
      <c r="AF96" s="783"/>
      <c r="AG96" s="783"/>
      <c r="AH96" s="13"/>
      <c r="AI96" s="13"/>
      <c r="AJ96" s="800"/>
      <c r="AK96" s="800"/>
      <c r="AL96" s="800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Y96" s="789"/>
      <c r="AZ96" s="789"/>
      <c r="BA96" s="801"/>
      <c r="BB96" s="801"/>
    </row>
    <row r="97" spans="1:54" s="1" customFormat="1" ht="15.6" customHeight="1" x14ac:dyDescent="0.15">
      <c r="A97" s="52"/>
      <c r="B97" s="768" t="s">
        <v>75</v>
      </c>
      <c r="C97" s="769"/>
      <c r="D97" s="770"/>
      <c r="E97" s="777" t="s">
        <v>57</v>
      </c>
      <c r="F97" s="777"/>
      <c r="G97" s="777"/>
      <c r="H97" s="777"/>
      <c r="I97" s="777"/>
      <c r="J97" s="778">
        <v>113</v>
      </c>
      <c r="K97" s="778"/>
      <c r="L97" s="778"/>
      <c r="M97" s="778"/>
      <c r="N97" s="779">
        <f>J97/SUM(J97:M100)</f>
        <v>9.3620546810273403E-2</v>
      </c>
      <c r="O97" s="779"/>
      <c r="P97" s="779"/>
      <c r="Q97" s="779"/>
      <c r="R97" s="778">
        <v>86</v>
      </c>
      <c r="S97" s="778"/>
      <c r="T97" s="778"/>
      <c r="U97" s="778"/>
      <c r="V97" s="802">
        <f>R97/SUM(R97:U100)</f>
        <v>7.7969174977334549E-2</v>
      </c>
      <c r="W97" s="803"/>
      <c r="X97" s="803"/>
      <c r="Y97" s="804"/>
      <c r="Z97" s="782">
        <f>3+16+6+5+31+7+5+5+6+7</f>
        <v>91</v>
      </c>
      <c r="AA97" s="782"/>
      <c r="AB97" s="782"/>
      <c r="AC97" s="782"/>
      <c r="AD97" s="814">
        <f>Z97/AA86</f>
        <v>9.6911608093716725E-2</v>
      </c>
      <c r="AE97" s="814"/>
      <c r="AF97" s="814"/>
      <c r="AG97" s="814"/>
      <c r="AH97" s="13"/>
      <c r="AI97" s="13"/>
      <c r="AJ97" s="13"/>
      <c r="AK97" s="799"/>
      <c r="AL97" s="799"/>
      <c r="AM97" s="799"/>
      <c r="AN97" s="13"/>
      <c r="AO97" s="13"/>
      <c r="AP97" s="13"/>
      <c r="AQ97" s="13"/>
      <c r="AR97" s="13"/>
      <c r="AS97" s="13"/>
      <c r="AT97" s="13"/>
      <c r="AU97" s="13"/>
      <c r="AV97" s="13"/>
      <c r="AY97" s="789"/>
      <c r="AZ97" s="789"/>
    </row>
    <row r="98" spans="1:54" s="1" customFormat="1" ht="15.6" customHeight="1" x14ac:dyDescent="0.15">
      <c r="A98" s="52"/>
      <c r="B98" s="771"/>
      <c r="C98" s="772"/>
      <c r="D98" s="773"/>
      <c r="E98" s="784" t="s">
        <v>58</v>
      </c>
      <c r="F98" s="784"/>
      <c r="G98" s="784"/>
      <c r="H98" s="784"/>
      <c r="I98" s="784"/>
      <c r="J98" s="790">
        <v>62</v>
      </c>
      <c r="K98" s="790"/>
      <c r="L98" s="790"/>
      <c r="M98" s="790"/>
      <c r="N98" s="791">
        <f>J98/SUM(J97:M100)</f>
        <v>5.136702568351284E-2</v>
      </c>
      <c r="O98" s="791"/>
      <c r="P98" s="791"/>
      <c r="Q98" s="791"/>
      <c r="R98" s="790">
        <v>57</v>
      </c>
      <c r="S98" s="790"/>
      <c r="T98" s="790"/>
      <c r="U98" s="790"/>
      <c r="V98" s="793">
        <f>R98/SUM(R97:U100)</f>
        <v>5.1677243880326386E-2</v>
      </c>
      <c r="W98" s="794"/>
      <c r="X98" s="794"/>
      <c r="Y98" s="795"/>
      <c r="Z98" s="797">
        <f>2+2+7+5+4+2+5+1+2+5</f>
        <v>35</v>
      </c>
      <c r="AA98" s="797"/>
      <c r="AB98" s="797"/>
      <c r="AC98" s="797"/>
      <c r="AD98" s="783">
        <f>Z98/AA86</f>
        <v>3.727369542066028E-2</v>
      </c>
      <c r="AE98" s="783"/>
      <c r="AF98" s="783"/>
      <c r="AG98" s="78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Y98" s="789"/>
      <c r="AZ98" s="789"/>
    </row>
    <row r="99" spans="1:54" s="3" customFormat="1" ht="15.6" customHeight="1" x14ac:dyDescent="0.15">
      <c r="A99" s="52"/>
      <c r="B99" s="771"/>
      <c r="C99" s="772"/>
      <c r="D99" s="773"/>
      <c r="E99" s="784" t="s">
        <v>59</v>
      </c>
      <c r="F99" s="784"/>
      <c r="G99" s="784"/>
      <c r="H99" s="784"/>
      <c r="I99" s="784"/>
      <c r="J99" s="790">
        <v>341</v>
      </c>
      <c r="K99" s="790"/>
      <c r="L99" s="790"/>
      <c r="M99" s="790"/>
      <c r="N99" s="791">
        <f>J99/SUM(J97:M100)</f>
        <v>0.28251864125932064</v>
      </c>
      <c r="O99" s="791"/>
      <c r="P99" s="791"/>
      <c r="Q99" s="791"/>
      <c r="R99" s="790">
        <v>361</v>
      </c>
      <c r="S99" s="790"/>
      <c r="T99" s="790"/>
      <c r="U99" s="790"/>
      <c r="V99" s="793">
        <f>R99/SUM(R97:U100)</f>
        <v>0.32728921124206711</v>
      </c>
      <c r="W99" s="794"/>
      <c r="X99" s="794"/>
      <c r="Y99" s="795"/>
      <c r="Z99" s="797">
        <f>21+36+30+21+9+34+20+40+25+34</f>
        <v>270</v>
      </c>
      <c r="AA99" s="797"/>
      <c r="AB99" s="797"/>
      <c r="AC99" s="797"/>
      <c r="AD99" s="783">
        <f>Z99/AA86</f>
        <v>0.28753993610223644</v>
      </c>
      <c r="AE99" s="783"/>
      <c r="AF99" s="783"/>
      <c r="AG99" s="78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4"/>
      <c r="AS99" s="14"/>
      <c r="AT99" s="14"/>
      <c r="AU99" s="14"/>
      <c r="AV99" s="14"/>
      <c r="AY99" s="789"/>
      <c r="AZ99" s="789"/>
    </row>
    <row r="100" spans="1:54" s="3" customFormat="1" ht="15.6" customHeight="1" x14ac:dyDescent="0.15">
      <c r="A100" s="52"/>
      <c r="B100" s="774"/>
      <c r="C100" s="775"/>
      <c r="D100" s="776"/>
      <c r="E100" s="805" t="s">
        <v>56</v>
      </c>
      <c r="F100" s="805"/>
      <c r="G100" s="805"/>
      <c r="H100" s="805"/>
      <c r="I100" s="805"/>
      <c r="J100" s="806">
        <v>691</v>
      </c>
      <c r="K100" s="806"/>
      <c r="L100" s="806"/>
      <c r="M100" s="806"/>
      <c r="N100" s="807">
        <f>J100/SUM(J97:M100)</f>
        <v>0.57249378624689318</v>
      </c>
      <c r="O100" s="807"/>
      <c r="P100" s="807"/>
      <c r="Q100" s="807"/>
      <c r="R100" s="806">
        <v>599</v>
      </c>
      <c r="S100" s="806"/>
      <c r="T100" s="806"/>
      <c r="U100" s="806"/>
      <c r="V100" s="809">
        <f>R100/SUM(R97:U100)</f>
        <v>0.54306436990027196</v>
      </c>
      <c r="W100" s="810"/>
      <c r="X100" s="810"/>
      <c r="Y100" s="811"/>
      <c r="Z100" s="813">
        <f>51+68+37+50+59+50+72+61+52+43</f>
        <v>543</v>
      </c>
      <c r="AA100" s="813"/>
      <c r="AB100" s="813"/>
      <c r="AC100" s="813"/>
      <c r="AD100" s="817">
        <f>Z100/AA86</f>
        <v>0.57827476038338654</v>
      </c>
      <c r="AE100" s="817"/>
      <c r="AF100" s="817"/>
      <c r="AG100" s="817"/>
      <c r="AH100" s="13"/>
      <c r="AI100" s="13"/>
      <c r="AJ100" s="800"/>
      <c r="AK100" s="800"/>
      <c r="AL100" s="800"/>
      <c r="AM100" s="83"/>
      <c r="AN100" s="13"/>
      <c r="AO100" s="13"/>
      <c r="AP100" s="13"/>
      <c r="AQ100" s="13"/>
      <c r="AR100" s="14"/>
      <c r="AS100" s="14"/>
      <c r="AT100" s="14"/>
      <c r="AU100" s="14"/>
      <c r="AV100" s="14"/>
      <c r="AY100" s="789"/>
      <c r="AZ100" s="789"/>
      <c r="BA100" s="789"/>
      <c r="BB100" s="789"/>
    </row>
    <row r="101" spans="1:54" s="3" customFormat="1" ht="15.6" customHeight="1" x14ac:dyDescent="0.15">
      <c r="A101" s="55"/>
      <c r="Y101" s="2"/>
      <c r="Z101" s="2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4"/>
      <c r="AS101" s="14"/>
      <c r="AT101" s="14"/>
      <c r="AU101" s="14"/>
      <c r="AV101" s="14"/>
      <c r="AY101" s="79"/>
      <c r="AZ101" s="79"/>
    </row>
    <row r="102" spans="1:54" s="3" customFormat="1" ht="15.6" customHeight="1" x14ac:dyDescent="0.15">
      <c r="A102" s="55" t="s">
        <v>1</v>
      </c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AG102" s="4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4"/>
      <c r="AS102" s="14"/>
      <c r="AT102" s="14"/>
      <c r="AU102" s="14"/>
      <c r="AV102" s="14"/>
      <c r="AY102" s="79"/>
      <c r="AZ102" s="79"/>
    </row>
    <row r="103" spans="1:54" s="3" customFormat="1" ht="15.6" customHeight="1" x14ac:dyDescent="0.15">
      <c r="A103" s="50" t="s">
        <v>176</v>
      </c>
      <c r="AG103" s="4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4"/>
      <c r="AS103" s="14"/>
      <c r="AT103" s="14"/>
      <c r="AU103" s="14"/>
      <c r="AV103" s="14"/>
      <c r="AY103" s="79"/>
      <c r="AZ103" s="79"/>
    </row>
    <row r="104" spans="1:54" s="3" customFormat="1" ht="15.6" customHeight="1" x14ac:dyDescent="0.15">
      <c r="A104" s="55"/>
      <c r="B104" s="595" t="s">
        <v>14</v>
      </c>
      <c r="C104" s="595"/>
      <c r="D104" s="595" t="s">
        <v>15</v>
      </c>
      <c r="E104" s="595"/>
      <c r="F104" s="595"/>
      <c r="G104" s="595"/>
      <c r="H104" s="595"/>
      <c r="I104" s="595" t="s">
        <v>16</v>
      </c>
      <c r="J104" s="595"/>
      <c r="K104" s="595"/>
      <c r="L104" s="595"/>
      <c r="M104" s="595"/>
      <c r="N104" s="595" t="s">
        <v>17</v>
      </c>
      <c r="O104" s="595"/>
      <c r="P104" s="595"/>
      <c r="Q104" s="595"/>
      <c r="R104" s="595"/>
      <c r="S104" s="595" t="s">
        <v>18</v>
      </c>
      <c r="T104" s="595"/>
      <c r="U104" s="595"/>
      <c r="V104" s="595"/>
      <c r="W104" s="595"/>
      <c r="X104" s="595" t="s">
        <v>19</v>
      </c>
      <c r="Y104" s="595"/>
      <c r="Z104" s="595"/>
      <c r="AA104" s="595"/>
      <c r="AB104" s="595"/>
      <c r="AC104" s="595" t="s">
        <v>20</v>
      </c>
      <c r="AD104" s="595"/>
      <c r="AE104" s="595"/>
      <c r="AF104" s="595"/>
      <c r="AG104" s="7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Y104" s="79"/>
      <c r="AZ104" s="79"/>
    </row>
    <row r="105" spans="1:54" ht="15.6" customHeight="1" x14ac:dyDescent="0.15">
      <c r="A105" s="52"/>
      <c r="B105" s="815" t="s">
        <v>9</v>
      </c>
      <c r="C105" s="815"/>
      <c r="D105" s="816">
        <v>46</v>
      </c>
      <c r="E105" s="816"/>
      <c r="F105" s="816"/>
      <c r="G105" s="816"/>
      <c r="H105" s="816"/>
      <c r="I105" s="816">
        <v>2</v>
      </c>
      <c r="J105" s="816"/>
      <c r="K105" s="816"/>
      <c r="L105" s="816"/>
      <c r="M105" s="816"/>
      <c r="N105" s="816">
        <v>0</v>
      </c>
      <c r="O105" s="816"/>
      <c r="P105" s="816"/>
      <c r="Q105" s="816"/>
      <c r="R105" s="816"/>
      <c r="S105" s="816">
        <v>43</v>
      </c>
      <c r="T105" s="816"/>
      <c r="U105" s="816"/>
      <c r="V105" s="816"/>
      <c r="W105" s="816"/>
      <c r="X105" s="816">
        <v>19</v>
      </c>
      <c r="Y105" s="816"/>
      <c r="Z105" s="816"/>
      <c r="AA105" s="816"/>
      <c r="AB105" s="816"/>
      <c r="AC105" s="816">
        <f>S105-X105</f>
        <v>24</v>
      </c>
      <c r="AD105" s="816"/>
      <c r="AE105" s="816"/>
      <c r="AF105" s="816"/>
    </row>
    <row r="106" spans="1:54" s="7" customFormat="1" ht="15.6" customHeight="1" x14ac:dyDescent="0.15">
      <c r="A106" s="18" t="s">
        <v>219</v>
      </c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Y106" s="80"/>
      <c r="AZ106" s="80"/>
    </row>
    <row r="107" spans="1:54" ht="15.6" customHeight="1" x14ac:dyDescent="0.15">
      <c r="A107" s="55"/>
      <c r="B107" s="764" t="s">
        <v>14</v>
      </c>
      <c r="C107" s="764"/>
      <c r="D107" s="764" t="s">
        <v>15</v>
      </c>
      <c r="E107" s="764"/>
      <c r="F107" s="764"/>
      <c r="G107" s="764"/>
      <c r="H107" s="764"/>
      <c r="I107" s="764" t="s">
        <v>16</v>
      </c>
      <c r="J107" s="764"/>
      <c r="K107" s="764"/>
      <c r="L107" s="764"/>
      <c r="M107" s="764"/>
      <c r="N107" s="764" t="s">
        <v>17</v>
      </c>
      <c r="O107" s="764"/>
      <c r="P107" s="764"/>
      <c r="Q107" s="764"/>
      <c r="R107" s="764"/>
      <c r="S107" s="763" t="s">
        <v>18</v>
      </c>
      <c r="T107" s="763"/>
      <c r="U107" s="763"/>
      <c r="V107" s="763"/>
      <c r="W107" s="763"/>
      <c r="X107" s="763" t="s">
        <v>19</v>
      </c>
      <c r="Y107" s="763"/>
      <c r="Z107" s="763"/>
      <c r="AA107" s="763"/>
      <c r="AB107" s="763"/>
      <c r="AC107" s="763" t="s">
        <v>20</v>
      </c>
      <c r="AD107" s="763"/>
      <c r="AE107" s="763"/>
      <c r="AF107" s="763"/>
    </row>
    <row r="108" spans="1:54" s="7" customFormat="1" ht="15.6" customHeight="1" x14ac:dyDescent="0.15">
      <c r="A108" s="13"/>
      <c r="B108" s="818" t="s">
        <v>9</v>
      </c>
      <c r="C108" s="818"/>
      <c r="D108" s="750">
        <f>1+4+5+1+5+5+6+1+2+2</f>
        <v>32</v>
      </c>
      <c r="E108" s="750"/>
      <c r="F108" s="750"/>
      <c r="G108" s="750"/>
      <c r="H108" s="750"/>
      <c r="I108" s="750">
        <f>0+0+1+0+0+0+1+0+0+0</f>
        <v>2</v>
      </c>
      <c r="J108" s="750"/>
      <c r="K108" s="750"/>
      <c r="L108" s="750"/>
      <c r="M108" s="750"/>
      <c r="N108" s="750">
        <f>0+0+0+0+2+0+3+1+1+0</f>
        <v>7</v>
      </c>
      <c r="O108" s="750"/>
      <c r="P108" s="750"/>
      <c r="Q108" s="750"/>
      <c r="R108" s="750"/>
      <c r="S108" s="746">
        <f>3+3+0+3+3+2+4+1+2+2</f>
        <v>23</v>
      </c>
      <c r="T108" s="746"/>
      <c r="U108" s="746"/>
      <c r="V108" s="746"/>
      <c r="W108" s="746"/>
      <c r="X108" s="746">
        <f>0+6+1+2+1+2+4+4+6+2</f>
        <v>28</v>
      </c>
      <c r="Y108" s="746"/>
      <c r="Z108" s="746"/>
      <c r="AA108" s="746"/>
      <c r="AB108" s="746"/>
      <c r="AC108" s="746">
        <f>S108-X108</f>
        <v>-5</v>
      </c>
      <c r="AD108" s="746"/>
      <c r="AE108" s="746"/>
      <c r="AF108" s="746"/>
      <c r="AY108" s="80"/>
      <c r="AZ108" s="80"/>
    </row>
    <row r="110" spans="1:54" ht="15.6" customHeight="1" x14ac:dyDescent="0.15">
      <c r="I110" s="820"/>
      <c r="J110" s="819"/>
      <c r="K110" s="819"/>
      <c r="L110" s="819"/>
      <c r="S110" s="820"/>
      <c r="T110" s="819"/>
      <c r="U110" s="819"/>
      <c r="V110" s="819"/>
      <c r="Z110" s="820"/>
      <c r="AA110" s="819"/>
      <c r="AB110" s="819"/>
      <c r="AC110" s="819"/>
    </row>
    <row r="111" spans="1:54" ht="15.6" customHeight="1" x14ac:dyDescent="0.15">
      <c r="D111" s="19"/>
      <c r="I111" s="819"/>
      <c r="J111" s="819"/>
      <c r="K111" s="819"/>
      <c r="L111" s="819"/>
      <c r="M111" s="819"/>
      <c r="N111" s="821"/>
      <c r="O111" s="821"/>
      <c r="P111" s="821"/>
      <c r="Q111" s="821"/>
      <c r="R111" s="819"/>
      <c r="S111" s="819"/>
      <c r="T111" s="819"/>
      <c r="U111" s="819"/>
      <c r="Z111" s="819"/>
      <c r="AA111" s="819"/>
      <c r="AB111" s="819"/>
      <c r="AC111" s="819"/>
    </row>
    <row r="112" spans="1:54" ht="15.6" customHeight="1" x14ac:dyDescent="0.15">
      <c r="I112" s="819"/>
      <c r="J112" s="819"/>
      <c r="K112" s="819"/>
      <c r="L112" s="819"/>
      <c r="M112" s="819"/>
      <c r="N112" s="819"/>
      <c r="O112" s="819"/>
      <c r="P112" s="819"/>
      <c r="Q112" s="819"/>
      <c r="R112" s="819"/>
      <c r="S112" s="819"/>
      <c r="T112" s="819"/>
      <c r="U112" s="819"/>
      <c r="Z112" s="819"/>
      <c r="AA112" s="819"/>
      <c r="AB112" s="819"/>
      <c r="AC112" s="819"/>
    </row>
    <row r="113" spans="4:29" ht="15.6" customHeight="1" x14ac:dyDescent="0.15">
      <c r="D113" s="19"/>
      <c r="I113" s="819"/>
      <c r="J113" s="819"/>
      <c r="K113" s="819"/>
      <c r="L113" s="819"/>
      <c r="M113" s="819"/>
      <c r="N113" s="819"/>
      <c r="O113" s="819"/>
      <c r="P113" s="819"/>
      <c r="Q113" s="819"/>
      <c r="R113" s="819"/>
      <c r="S113" s="819"/>
      <c r="T113" s="819"/>
      <c r="U113" s="819"/>
      <c r="Z113" s="819"/>
      <c r="AA113" s="819"/>
      <c r="AB113" s="819"/>
      <c r="AC113" s="819"/>
    </row>
  </sheetData>
  <mergeCells count="482">
    <mergeCell ref="I112:M112"/>
    <mergeCell ref="N112:Q112"/>
    <mergeCell ref="R112:U112"/>
    <mergeCell ref="Z112:AC112"/>
    <mergeCell ref="I113:M113"/>
    <mergeCell ref="N113:Q113"/>
    <mergeCell ref="R113:U113"/>
    <mergeCell ref="Z113:AC113"/>
    <mergeCell ref="I110:L110"/>
    <mergeCell ref="S110:V110"/>
    <mergeCell ref="Z110:AC110"/>
    <mergeCell ref="I111:M111"/>
    <mergeCell ref="N111:Q111"/>
    <mergeCell ref="R111:U111"/>
    <mergeCell ref="Z111:AC111"/>
    <mergeCell ref="B108:C108"/>
    <mergeCell ref="D108:H108"/>
    <mergeCell ref="I108:M108"/>
    <mergeCell ref="N108:R108"/>
    <mergeCell ref="S108:W108"/>
    <mergeCell ref="X108:AB108"/>
    <mergeCell ref="AC108:AF108"/>
    <mergeCell ref="B107:C107"/>
    <mergeCell ref="D107:H107"/>
    <mergeCell ref="I107:M107"/>
    <mergeCell ref="N107:R107"/>
    <mergeCell ref="S107:W107"/>
    <mergeCell ref="X107:AB107"/>
    <mergeCell ref="B105:C105"/>
    <mergeCell ref="D105:H105"/>
    <mergeCell ref="I105:M105"/>
    <mergeCell ref="N105:R105"/>
    <mergeCell ref="S105:W105"/>
    <mergeCell ref="X105:AB105"/>
    <mergeCell ref="AC105:AF105"/>
    <mergeCell ref="AD100:AG100"/>
    <mergeCell ref="AC107:AF107"/>
    <mergeCell ref="AJ100:AL100"/>
    <mergeCell ref="AY100:AZ100"/>
    <mergeCell ref="BA100:BB100"/>
    <mergeCell ref="B104:C104"/>
    <mergeCell ref="D104:H104"/>
    <mergeCell ref="I104:M104"/>
    <mergeCell ref="N104:R104"/>
    <mergeCell ref="S104:W104"/>
    <mergeCell ref="X104:AB104"/>
    <mergeCell ref="E100:I100"/>
    <mergeCell ref="J100:M100"/>
    <mergeCell ref="N100:Q100"/>
    <mergeCell ref="R100:U100"/>
    <mergeCell ref="V100:Y100"/>
    <mergeCell ref="Z100:AC100"/>
    <mergeCell ref="AC104:AF104"/>
    <mergeCell ref="Z98:AC98"/>
    <mergeCell ref="AD98:AG98"/>
    <mergeCell ref="AY98:AZ98"/>
    <mergeCell ref="E99:I99"/>
    <mergeCell ref="J99:M99"/>
    <mergeCell ref="N99:Q99"/>
    <mergeCell ref="R99:U99"/>
    <mergeCell ref="V99:Y99"/>
    <mergeCell ref="Z99:AC99"/>
    <mergeCell ref="AD99:AG99"/>
    <mergeCell ref="AY99:AZ99"/>
    <mergeCell ref="AJ96:AL96"/>
    <mergeCell ref="AY96:AZ96"/>
    <mergeCell ref="BA96:BB96"/>
    <mergeCell ref="B97:D100"/>
    <mergeCell ref="E97:I97"/>
    <mergeCell ref="J97:M97"/>
    <mergeCell ref="N97:Q97"/>
    <mergeCell ref="R97:U97"/>
    <mergeCell ref="V97:Y97"/>
    <mergeCell ref="E96:I96"/>
    <mergeCell ref="J96:M96"/>
    <mergeCell ref="N96:Q96"/>
    <mergeCell ref="R96:U96"/>
    <mergeCell ref="V96:Y96"/>
    <mergeCell ref="Z96:AC96"/>
    <mergeCell ref="Z97:AC97"/>
    <mergeCell ref="AD97:AG97"/>
    <mergeCell ref="AK97:AM97"/>
    <mergeCell ref="AY97:AZ97"/>
    <mergeCell ref="E98:I98"/>
    <mergeCell ref="J98:M98"/>
    <mergeCell ref="N98:Q98"/>
    <mergeCell ref="R98:U98"/>
    <mergeCell ref="V98:Y98"/>
    <mergeCell ref="AY94:AZ94"/>
    <mergeCell ref="E95:I95"/>
    <mergeCell ref="J95:M95"/>
    <mergeCell ref="N95:Q95"/>
    <mergeCell ref="R95:U95"/>
    <mergeCell ref="V95:Y95"/>
    <mergeCell ref="Z95:AC95"/>
    <mergeCell ref="AD95:AG95"/>
    <mergeCell ref="AK95:AM95"/>
    <mergeCell ref="AY95:AZ95"/>
    <mergeCell ref="J94:M94"/>
    <mergeCell ref="N94:Q94"/>
    <mergeCell ref="R94:U94"/>
    <mergeCell ref="V94:Y94"/>
    <mergeCell ref="Z94:AC94"/>
    <mergeCell ref="AD94:AG94"/>
    <mergeCell ref="AY92:AZ92"/>
    <mergeCell ref="E93:I93"/>
    <mergeCell ref="J93:M93"/>
    <mergeCell ref="N93:Q93"/>
    <mergeCell ref="R93:U93"/>
    <mergeCell ref="V93:Y93"/>
    <mergeCell ref="Z93:AC93"/>
    <mergeCell ref="AD93:AG93"/>
    <mergeCell ref="AY93:AZ93"/>
    <mergeCell ref="AD91:AG91"/>
    <mergeCell ref="B92:D96"/>
    <mergeCell ref="E92:I92"/>
    <mergeCell ref="J92:M92"/>
    <mergeCell ref="N92:Q92"/>
    <mergeCell ref="R92:U92"/>
    <mergeCell ref="V92:Y92"/>
    <mergeCell ref="Z92:AC92"/>
    <mergeCell ref="AD92:AG92"/>
    <mergeCell ref="E94:I94"/>
    <mergeCell ref="B90:D91"/>
    <mergeCell ref="E90:I91"/>
    <mergeCell ref="J90:Q90"/>
    <mergeCell ref="R90:Y90"/>
    <mergeCell ref="Z90:AG90"/>
    <mergeCell ref="J91:M91"/>
    <mergeCell ref="N91:Q91"/>
    <mergeCell ref="R91:U91"/>
    <mergeCell ref="V91:Y91"/>
    <mergeCell ref="Z91:AC91"/>
    <mergeCell ref="AD96:AG96"/>
    <mergeCell ref="AI86:AK86"/>
    <mergeCell ref="B87:F87"/>
    <mergeCell ref="G87:K87"/>
    <mergeCell ref="L87:P87"/>
    <mergeCell ref="Q87:U87"/>
    <mergeCell ref="V87:Z87"/>
    <mergeCell ref="AA87:AE87"/>
    <mergeCell ref="AA85:AE85"/>
    <mergeCell ref="B86:F86"/>
    <mergeCell ref="G86:K86"/>
    <mergeCell ref="L86:P86"/>
    <mergeCell ref="Q86:U86"/>
    <mergeCell ref="V86:Z86"/>
    <mergeCell ref="AA86:AE86"/>
    <mergeCell ref="B82:G82"/>
    <mergeCell ref="H82:M82"/>
    <mergeCell ref="N82:S82"/>
    <mergeCell ref="T82:Y82"/>
    <mergeCell ref="Z82:AG82"/>
    <mergeCell ref="B85:F85"/>
    <mergeCell ref="G85:K85"/>
    <mergeCell ref="L85:P85"/>
    <mergeCell ref="Q85:U85"/>
    <mergeCell ref="V85:Z85"/>
    <mergeCell ref="B80:G80"/>
    <mergeCell ref="H80:M80"/>
    <mergeCell ref="N80:S80"/>
    <mergeCell ref="T80:Y80"/>
    <mergeCell ref="Z80:AG80"/>
    <mergeCell ref="B81:G81"/>
    <mergeCell ref="H81:M81"/>
    <mergeCell ref="N81:S81"/>
    <mergeCell ref="T81:Y81"/>
    <mergeCell ref="Z81:AG81"/>
    <mergeCell ref="B78:G78"/>
    <mergeCell ref="H78:M78"/>
    <mergeCell ref="N78:S78"/>
    <mergeCell ref="T78:Y78"/>
    <mergeCell ref="Z78:AG78"/>
    <mergeCell ref="B79:G79"/>
    <mergeCell ref="H79:M79"/>
    <mergeCell ref="N79:S79"/>
    <mergeCell ref="T79:Y79"/>
    <mergeCell ref="Z79:AG79"/>
    <mergeCell ref="H71:J72"/>
    <mergeCell ref="K71:L72"/>
    <mergeCell ref="M71:N72"/>
    <mergeCell ref="O71:Q72"/>
    <mergeCell ref="X73:Y73"/>
    <mergeCell ref="Z73:AB73"/>
    <mergeCell ref="AC73:AD73"/>
    <mergeCell ref="AE73:AG73"/>
    <mergeCell ref="B76:G77"/>
    <mergeCell ref="H76:Y76"/>
    <mergeCell ref="Z76:AG77"/>
    <mergeCell ref="H77:M77"/>
    <mergeCell ref="N77:S77"/>
    <mergeCell ref="T77:Y77"/>
    <mergeCell ref="AQ67:AR67"/>
    <mergeCell ref="AQ68:AR68"/>
    <mergeCell ref="V67:W68"/>
    <mergeCell ref="X67:Y68"/>
    <mergeCell ref="Z67:AB68"/>
    <mergeCell ref="AC67:AD68"/>
    <mergeCell ref="AE71:AG72"/>
    <mergeCell ref="B73:D73"/>
    <mergeCell ref="E73:G73"/>
    <mergeCell ref="H73:J73"/>
    <mergeCell ref="K73:L73"/>
    <mergeCell ref="M73:N73"/>
    <mergeCell ref="O73:Q73"/>
    <mergeCell ref="R73:S73"/>
    <mergeCell ref="T73:U73"/>
    <mergeCell ref="V73:W73"/>
    <mergeCell ref="R71:S72"/>
    <mergeCell ref="T71:U72"/>
    <mergeCell ref="V71:W72"/>
    <mergeCell ref="X71:Y72"/>
    <mergeCell ref="Z71:AB72"/>
    <mergeCell ref="AC71:AD72"/>
    <mergeCell ref="B71:D72"/>
    <mergeCell ref="E71:G72"/>
    <mergeCell ref="AQ63:AR63"/>
    <mergeCell ref="AQ64:AR64"/>
    <mergeCell ref="B69:D70"/>
    <mergeCell ref="E69:G70"/>
    <mergeCell ref="H69:J70"/>
    <mergeCell ref="K69:L70"/>
    <mergeCell ref="M69:N70"/>
    <mergeCell ref="O69:Q70"/>
    <mergeCell ref="R69:S70"/>
    <mergeCell ref="R67:S68"/>
    <mergeCell ref="T67:U68"/>
    <mergeCell ref="B67:D68"/>
    <mergeCell ref="E67:G68"/>
    <mergeCell ref="H67:J68"/>
    <mergeCell ref="K67:L68"/>
    <mergeCell ref="M67:N68"/>
    <mergeCell ref="O67:Q68"/>
    <mergeCell ref="T69:U70"/>
    <mergeCell ref="V69:W70"/>
    <mergeCell ref="X69:Y70"/>
    <mergeCell ref="Z69:AB70"/>
    <mergeCell ref="AC69:AD70"/>
    <mergeCell ref="AE69:AG70"/>
    <mergeCell ref="AE67:AG68"/>
    <mergeCell ref="B65:D66"/>
    <mergeCell ref="E65:G66"/>
    <mergeCell ref="H65:J66"/>
    <mergeCell ref="K65:L66"/>
    <mergeCell ref="M65:N66"/>
    <mergeCell ref="O65:Q66"/>
    <mergeCell ref="R65:S66"/>
    <mergeCell ref="T65:U66"/>
    <mergeCell ref="AQ61:AR61"/>
    <mergeCell ref="F62:I62"/>
    <mergeCell ref="J62:M62"/>
    <mergeCell ref="N62:Q62"/>
    <mergeCell ref="R62:U62"/>
    <mergeCell ref="V62:Y62"/>
    <mergeCell ref="Z62:AC62"/>
    <mergeCell ref="AD62:AG62"/>
    <mergeCell ref="AQ62:AR62"/>
    <mergeCell ref="V65:W66"/>
    <mergeCell ref="X65:Y66"/>
    <mergeCell ref="Z65:AB66"/>
    <mergeCell ref="AC65:AD66"/>
    <mergeCell ref="AE65:AG66"/>
    <mergeCell ref="AQ65:AR65"/>
    <mergeCell ref="AQ66:AR66"/>
    <mergeCell ref="V58:Y58"/>
    <mergeCell ref="Z58:AC58"/>
    <mergeCell ref="AD58:AG58"/>
    <mergeCell ref="B61:E62"/>
    <mergeCell ref="F61:I61"/>
    <mergeCell ref="J61:M61"/>
    <mergeCell ref="N61:Q61"/>
    <mergeCell ref="R61:U61"/>
    <mergeCell ref="V61:Y61"/>
    <mergeCell ref="Z61:AC61"/>
    <mergeCell ref="AD61:AG61"/>
    <mergeCell ref="F60:I60"/>
    <mergeCell ref="J60:M60"/>
    <mergeCell ref="N60:Q60"/>
    <mergeCell ref="R60:U60"/>
    <mergeCell ref="V60:Y60"/>
    <mergeCell ref="Z60:AC60"/>
    <mergeCell ref="F57:I57"/>
    <mergeCell ref="J57:M57"/>
    <mergeCell ref="N57:Q57"/>
    <mergeCell ref="R57:U57"/>
    <mergeCell ref="V57:Y57"/>
    <mergeCell ref="Z57:AC57"/>
    <mergeCell ref="AQ58:AR58"/>
    <mergeCell ref="B59:E60"/>
    <mergeCell ref="F59:I59"/>
    <mergeCell ref="J59:M59"/>
    <mergeCell ref="N59:Q59"/>
    <mergeCell ref="R59:U59"/>
    <mergeCell ref="V59:Y59"/>
    <mergeCell ref="Z59:AC59"/>
    <mergeCell ref="AD59:AG59"/>
    <mergeCell ref="AQ59:AR59"/>
    <mergeCell ref="B57:E58"/>
    <mergeCell ref="AD60:AG60"/>
    <mergeCell ref="AQ60:AR60"/>
    <mergeCell ref="AD57:AG57"/>
    <mergeCell ref="F58:I58"/>
    <mergeCell ref="J58:M58"/>
    <mergeCell ref="N58:Q58"/>
    <mergeCell ref="R58:U58"/>
    <mergeCell ref="W48:X48"/>
    <mergeCell ref="AC48:AD48"/>
    <mergeCell ref="D49:G49"/>
    <mergeCell ref="W49:X49"/>
    <mergeCell ref="AC49:AD49"/>
    <mergeCell ref="B56:E56"/>
    <mergeCell ref="F56:I56"/>
    <mergeCell ref="J56:M56"/>
    <mergeCell ref="N56:Q56"/>
    <mergeCell ref="R56:U56"/>
    <mergeCell ref="B39:C49"/>
    <mergeCell ref="D39:F39"/>
    <mergeCell ref="G39:H39"/>
    <mergeCell ref="L39:M39"/>
    <mergeCell ref="Q39:R39"/>
    <mergeCell ref="W39:X39"/>
    <mergeCell ref="AC39:AD39"/>
    <mergeCell ref="V56:Y56"/>
    <mergeCell ref="Z56:AC56"/>
    <mergeCell ref="AD56:AG56"/>
    <mergeCell ref="W45:X45"/>
    <mergeCell ref="AC45:AD45"/>
    <mergeCell ref="W46:X46"/>
    <mergeCell ref="AC46:AD46"/>
    <mergeCell ref="W47:X47"/>
    <mergeCell ref="AC47:AD47"/>
    <mergeCell ref="D43:G43"/>
    <mergeCell ref="Q43:R43"/>
    <mergeCell ref="W43:X43"/>
    <mergeCell ref="AC43:AD43"/>
    <mergeCell ref="W44:X44"/>
    <mergeCell ref="AC44:AD44"/>
    <mergeCell ref="AJ39:AM39"/>
    <mergeCell ref="D40:G40"/>
    <mergeCell ref="AJ41:AM41"/>
    <mergeCell ref="D42:G42"/>
    <mergeCell ref="L42:M42"/>
    <mergeCell ref="Q42:R42"/>
    <mergeCell ref="W42:X42"/>
    <mergeCell ref="AC42:AD42"/>
    <mergeCell ref="L40:M40"/>
    <mergeCell ref="Q40:R40"/>
    <mergeCell ref="W40:X40"/>
    <mergeCell ref="AC40:AD40"/>
    <mergeCell ref="D41:G41"/>
    <mergeCell ref="L41:M41"/>
    <mergeCell ref="Q41:R41"/>
    <mergeCell ref="W41:X41"/>
    <mergeCell ref="AC41:AD41"/>
    <mergeCell ref="AE37:AG37"/>
    <mergeCell ref="B38:C38"/>
    <mergeCell ref="D38:H38"/>
    <mergeCell ref="I38:M38"/>
    <mergeCell ref="N38:R38"/>
    <mergeCell ref="S38:X38"/>
    <mergeCell ref="Y38:AD38"/>
    <mergeCell ref="AE38:AG38"/>
    <mergeCell ref="AJ38:AM38"/>
    <mergeCell ref="W34:X34"/>
    <mergeCell ref="AC34:AD34"/>
    <mergeCell ref="D35:G35"/>
    <mergeCell ref="W35:X35"/>
    <mergeCell ref="AC35:AD35"/>
    <mergeCell ref="B37:C37"/>
    <mergeCell ref="D37:H37"/>
    <mergeCell ref="I37:M37"/>
    <mergeCell ref="N37:R37"/>
    <mergeCell ref="S37:X37"/>
    <mergeCell ref="B25:C35"/>
    <mergeCell ref="Y37:AD37"/>
    <mergeCell ref="W31:X31"/>
    <mergeCell ref="AC31:AD31"/>
    <mergeCell ref="W32:X32"/>
    <mergeCell ref="AC32:AD32"/>
    <mergeCell ref="W33:X33"/>
    <mergeCell ref="AC33:AD33"/>
    <mergeCell ref="D29:G29"/>
    <mergeCell ref="Q29:R29"/>
    <mergeCell ref="W29:X29"/>
    <mergeCell ref="AC29:AD29"/>
    <mergeCell ref="W30:X30"/>
    <mergeCell ref="AC30:AD30"/>
    <mergeCell ref="D28:G28"/>
    <mergeCell ref="L28:M28"/>
    <mergeCell ref="Q28:R28"/>
    <mergeCell ref="W28:X28"/>
    <mergeCell ref="AC28:AD28"/>
    <mergeCell ref="AC25:AD25"/>
    <mergeCell ref="D26:G26"/>
    <mergeCell ref="L26:M26"/>
    <mergeCell ref="Q26:R26"/>
    <mergeCell ref="W26:X26"/>
    <mergeCell ref="AC26:AD26"/>
    <mergeCell ref="D25:F25"/>
    <mergeCell ref="G25:H25"/>
    <mergeCell ref="L25:M25"/>
    <mergeCell ref="Q25:R25"/>
    <mergeCell ref="W25:X25"/>
    <mergeCell ref="D27:G27"/>
    <mergeCell ref="L27:M27"/>
    <mergeCell ref="Q27:R27"/>
    <mergeCell ref="W27:X27"/>
    <mergeCell ref="AE23:AG23"/>
    <mergeCell ref="B24:C24"/>
    <mergeCell ref="D24:H24"/>
    <mergeCell ref="I24:M24"/>
    <mergeCell ref="N24:R24"/>
    <mergeCell ref="S24:X24"/>
    <mergeCell ref="Y24:AD24"/>
    <mergeCell ref="AE24:AG24"/>
    <mergeCell ref="AC27:AD27"/>
    <mergeCell ref="D19:H19"/>
    <mergeCell ref="I19:M19"/>
    <mergeCell ref="N19:R19"/>
    <mergeCell ref="B23:C23"/>
    <mergeCell ref="D23:H23"/>
    <mergeCell ref="I23:M23"/>
    <mergeCell ref="N23:R23"/>
    <mergeCell ref="AH17:AK17"/>
    <mergeCell ref="AX17:AY17"/>
    <mergeCell ref="B18:H18"/>
    <mergeCell ref="I18:M18"/>
    <mergeCell ref="N18:R18"/>
    <mergeCell ref="S18:W18"/>
    <mergeCell ref="X18:AA18"/>
    <mergeCell ref="AC18:AG18"/>
    <mergeCell ref="AH18:AK18"/>
    <mergeCell ref="B17:H17"/>
    <mergeCell ref="I17:M17"/>
    <mergeCell ref="N17:R17"/>
    <mergeCell ref="S17:W17"/>
    <mergeCell ref="X17:AA17"/>
    <mergeCell ref="AC17:AG17"/>
    <mergeCell ref="S23:X23"/>
    <mergeCell ref="Y23:AD23"/>
    <mergeCell ref="AH15:AK15"/>
    <mergeCell ref="B16:H16"/>
    <mergeCell ref="I16:M16"/>
    <mergeCell ref="N16:R16"/>
    <mergeCell ref="S16:W16"/>
    <mergeCell ref="X16:AA16"/>
    <mergeCell ref="AC16:AG16"/>
    <mergeCell ref="AH16:AK16"/>
    <mergeCell ref="B15:H15"/>
    <mergeCell ref="I15:M15"/>
    <mergeCell ref="N15:R15"/>
    <mergeCell ref="S15:W15"/>
    <mergeCell ref="X15:AA15"/>
    <mergeCell ref="AC15:AG15"/>
    <mergeCell ref="AH13:AK13"/>
    <mergeCell ref="I14:M14"/>
    <mergeCell ref="N14:R14"/>
    <mergeCell ref="S14:W14"/>
    <mergeCell ref="X14:AA14"/>
    <mergeCell ref="AC14:AG14"/>
    <mergeCell ref="AH14:AK14"/>
    <mergeCell ref="Y11:AA11"/>
    <mergeCell ref="AC11:AG12"/>
    <mergeCell ref="Y12:AA12"/>
    <mergeCell ref="I13:M13"/>
    <mergeCell ref="N13:R13"/>
    <mergeCell ref="S13:W13"/>
    <mergeCell ref="X13:AA13"/>
    <mergeCell ref="AC13:AG13"/>
    <mergeCell ref="I7:M7"/>
    <mergeCell ref="I8:M8"/>
    <mergeCell ref="V8:X8"/>
    <mergeCell ref="B11:H12"/>
    <mergeCell ref="I11:M12"/>
    <mergeCell ref="N11:R12"/>
    <mergeCell ref="S11:W12"/>
    <mergeCell ref="A1:AG2"/>
    <mergeCell ref="AA3:AG4"/>
    <mergeCell ref="AA5:AG5"/>
    <mergeCell ref="B6:D6"/>
    <mergeCell ref="F6:L6"/>
    <mergeCell ref="M6:O6"/>
  </mergeCells>
  <phoneticPr fontId="9"/>
  <pageMargins left="0.59055118110236227" right="0.39370078740157483" top="0.39370078740157483" bottom="0.39370078740157483" header="0" footer="0"/>
  <pageSetup paperSize="9" scale="99" orientation="portrait" copies="9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T113"/>
  <sheetViews>
    <sheetView view="pageBreakPreview" zoomScaleNormal="100" zoomScaleSheetLayoutView="100" workbookViewId="0">
      <selection activeCell="AA5" sqref="AA5:AG5"/>
    </sheetView>
  </sheetViews>
  <sheetFormatPr defaultColWidth="2.625" defaultRowHeight="15.6" customHeight="1" x14ac:dyDescent="0.15"/>
  <cols>
    <col min="1" max="1" width="2.625" style="69"/>
    <col min="2" max="29" width="2.625" style="4"/>
    <col min="30" max="30" width="2.625" style="4" customWidth="1"/>
    <col min="31" max="33" width="2.625" style="4"/>
    <col min="34" max="35" width="2.625" style="7"/>
    <col min="36" max="36" width="8.5" style="7" bestFit="1" customWidth="1"/>
    <col min="37" max="37" width="3.5" style="7" bestFit="1" customWidth="1"/>
    <col min="38" max="42" width="2.625" style="7"/>
    <col min="43" max="43" width="3.5" style="7" bestFit="1" customWidth="1"/>
    <col min="44" max="47" width="2.625" style="7"/>
    <col min="48" max="50" width="2.625" style="4"/>
    <col min="51" max="52" width="2.625" style="79"/>
    <col min="53" max="16384" width="2.625" style="4"/>
  </cols>
  <sheetData>
    <row r="1" spans="1:52" ht="15.6" customHeight="1" x14ac:dyDescent="0.15">
      <c r="A1" s="562" t="s">
        <v>6</v>
      </c>
      <c r="B1" s="562"/>
      <c r="C1" s="562"/>
      <c r="D1" s="562"/>
      <c r="E1" s="562"/>
      <c r="F1" s="562"/>
      <c r="G1" s="562"/>
      <c r="H1" s="562"/>
      <c r="I1" s="562"/>
      <c r="J1" s="562"/>
      <c r="K1" s="562"/>
      <c r="L1" s="562"/>
      <c r="M1" s="562"/>
      <c r="N1" s="562"/>
      <c r="O1" s="562"/>
      <c r="P1" s="562"/>
      <c r="Q1" s="562"/>
      <c r="R1" s="562"/>
      <c r="S1" s="562"/>
      <c r="T1" s="562"/>
      <c r="U1" s="562"/>
      <c r="V1" s="562"/>
      <c r="W1" s="562"/>
      <c r="X1" s="562"/>
      <c r="Y1" s="562"/>
      <c r="Z1" s="562"/>
      <c r="AA1" s="562"/>
      <c r="AB1" s="562"/>
      <c r="AC1" s="562"/>
      <c r="AD1" s="562"/>
      <c r="AE1" s="562"/>
      <c r="AF1" s="562"/>
      <c r="AG1" s="562"/>
      <c r="AH1" s="20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</row>
    <row r="2" spans="1:52" ht="15.6" customHeight="1" x14ac:dyDescent="0.15">
      <c r="A2" s="562"/>
      <c r="B2" s="562"/>
      <c r="C2" s="562"/>
      <c r="D2" s="562"/>
      <c r="E2" s="562"/>
      <c r="F2" s="562"/>
      <c r="G2" s="562"/>
      <c r="H2" s="562"/>
      <c r="I2" s="562"/>
      <c r="J2" s="562"/>
      <c r="K2" s="562"/>
      <c r="L2" s="562"/>
      <c r="M2" s="562"/>
      <c r="N2" s="562"/>
      <c r="O2" s="562"/>
      <c r="P2" s="562"/>
      <c r="Q2" s="562"/>
      <c r="R2" s="562"/>
      <c r="S2" s="562"/>
      <c r="T2" s="562"/>
      <c r="U2" s="562"/>
      <c r="V2" s="562"/>
      <c r="W2" s="562"/>
      <c r="X2" s="562"/>
      <c r="Y2" s="562"/>
      <c r="Z2" s="562"/>
      <c r="AA2" s="562"/>
      <c r="AB2" s="562"/>
      <c r="AC2" s="562"/>
      <c r="AD2" s="562"/>
      <c r="AE2" s="562"/>
      <c r="AF2" s="562"/>
      <c r="AG2" s="562"/>
      <c r="AH2" s="20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</row>
    <row r="3" spans="1:52" s="3" customFormat="1" ht="15.6" customHeight="1" x14ac:dyDescent="0.15">
      <c r="A3" s="49"/>
      <c r="B3" s="41"/>
      <c r="C3" s="42"/>
      <c r="D3" s="42"/>
      <c r="E3" s="42"/>
      <c r="F3" s="42"/>
      <c r="G3" s="42"/>
      <c r="H3" s="42"/>
      <c r="I3" s="42"/>
      <c r="J3" s="42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33"/>
      <c r="W3" s="33"/>
      <c r="X3" s="33"/>
      <c r="Y3" s="33"/>
      <c r="Z3" s="33"/>
      <c r="AA3" s="563" t="s">
        <v>107</v>
      </c>
      <c r="AB3" s="563"/>
      <c r="AC3" s="563"/>
      <c r="AD3" s="563"/>
      <c r="AE3" s="563"/>
      <c r="AF3" s="563"/>
      <c r="AG3" s="563"/>
      <c r="AH3" s="21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Y3" s="79"/>
      <c r="AZ3" s="79"/>
    </row>
    <row r="4" spans="1:52" s="3" customFormat="1" ht="15.6" customHeight="1" x14ac:dyDescent="0.15">
      <c r="A4" s="49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33"/>
      <c r="W4" s="33"/>
      <c r="X4" s="33"/>
      <c r="Y4" s="33"/>
      <c r="Z4" s="33"/>
      <c r="AA4" s="563"/>
      <c r="AB4" s="563"/>
      <c r="AC4" s="563"/>
      <c r="AD4" s="563"/>
      <c r="AE4" s="563"/>
      <c r="AF4" s="563"/>
      <c r="AG4" s="563"/>
      <c r="AH4" s="21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Y4" s="79"/>
      <c r="AZ4" s="79"/>
    </row>
    <row r="5" spans="1:52" s="3" customFormat="1" ht="15.6" customHeight="1" x14ac:dyDescent="0.15">
      <c r="A5" s="49" t="s">
        <v>66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16"/>
      <c r="Q5" s="16"/>
      <c r="R5" s="16"/>
      <c r="S5" s="16"/>
      <c r="T5" s="16"/>
      <c r="U5" s="16"/>
      <c r="V5" s="21"/>
      <c r="W5" s="21"/>
      <c r="X5" s="21"/>
      <c r="Y5" s="21"/>
      <c r="Z5" s="21"/>
      <c r="AA5" s="891" t="s">
        <v>231</v>
      </c>
      <c r="AB5" s="564"/>
      <c r="AC5" s="564"/>
      <c r="AD5" s="564"/>
      <c r="AE5" s="564"/>
      <c r="AF5" s="564"/>
      <c r="AG5" s="564"/>
      <c r="AH5" s="21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Y5" s="79"/>
      <c r="AZ5" s="79"/>
    </row>
    <row r="6" spans="1:52" s="3" customFormat="1" ht="15.6" customHeight="1" x14ac:dyDescent="0.15">
      <c r="A6" s="49" t="s">
        <v>7</v>
      </c>
      <c r="B6" s="565" t="s">
        <v>108</v>
      </c>
      <c r="C6" s="565"/>
      <c r="D6" s="565"/>
      <c r="E6" s="437" t="s">
        <v>109</v>
      </c>
      <c r="F6" s="566">
        <v>44927</v>
      </c>
      <c r="G6" s="566"/>
      <c r="H6" s="566"/>
      <c r="I6" s="566"/>
      <c r="J6" s="566"/>
      <c r="K6" s="566"/>
      <c r="L6" s="566"/>
      <c r="M6" s="567" t="s">
        <v>111</v>
      </c>
      <c r="N6" s="567"/>
      <c r="O6" s="567"/>
      <c r="P6" s="16"/>
      <c r="Q6" s="16"/>
      <c r="R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Y6" s="79"/>
      <c r="AZ6" s="79"/>
    </row>
    <row r="7" spans="1:52" s="3" customFormat="1" ht="15.6" customHeight="1" x14ac:dyDescent="0.15">
      <c r="A7" s="49"/>
      <c r="B7" s="49"/>
      <c r="C7" s="49" t="s">
        <v>65</v>
      </c>
      <c r="D7" s="438"/>
      <c r="E7" s="49"/>
      <c r="F7" s="55"/>
      <c r="G7" s="55"/>
      <c r="H7" s="55"/>
      <c r="I7" s="824">
        <v>223956</v>
      </c>
      <c r="J7" s="824"/>
      <c r="K7" s="824"/>
      <c r="L7" s="824"/>
      <c r="M7" s="824"/>
      <c r="N7" s="55" t="s">
        <v>8</v>
      </c>
      <c r="O7" s="55"/>
      <c r="P7" s="432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Y7" s="79"/>
      <c r="AZ7" s="79"/>
    </row>
    <row r="8" spans="1:52" s="3" customFormat="1" ht="15.6" customHeight="1" x14ac:dyDescent="0.15">
      <c r="A8" s="49"/>
      <c r="B8" s="49"/>
      <c r="C8" s="49" t="s">
        <v>9</v>
      </c>
      <c r="D8" s="49"/>
      <c r="E8" s="49"/>
      <c r="F8" s="55"/>
      <c r="G8" s="55"/>
      <c r="H8" s="55"/>
      <c r="I8" s="825">
        <v>103527</v>
      </c>
      <c r="J8" s="824"/>
      <c r="K8" s="824"/>
      <c r="L8" s="824"/>
      <c r="M8" s="824"/>
      <c r="N8" s="55" t="s">
        <v>10</v>
      </c>
      <c r="O8" s="55"/>
      <c r="P8" s="16" t="s">
        <v>11</v>
      </c>
      <c r="Q8" s="16"/>
      <c r="R8" s="16"/>
      <c r="S8" s="16"/>
      <c r="T8" s="16"/>
      <c r="U8" s="16"/>
      <c r="V8" s="548">
        <f>I7/I8</f>
        <v>2.1632617578023123</v>
      </c>
      <c r="W8" s="548"/>
      <c r="X8" s="548"/>
      <c r="Y8" s="16" t="s">
        <v>12</v>
      </c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Y8" s="79"/>
      <c r="AZ8" s="79"/>
    </row>
    <row r="9" spans="1:52" s="3" customFormat="1" ht="15.6" customHeight="1" x14ac:dyDescent="0.15">
      <c r="A9" s="49"/>
      <c r="B9" s="16"/>
      <c r="C9" s="16"/>
      <c r="D9" s="16"/>
      <c r="E9" s="16"/>
      <c r="F9" s="16"/>
      <c r="G9" s="16"/>
      <c r="H9" s="16"/>
      <c r="I9" s="418"/>
      <c r="J9" s="417"/>
      <c r="K9" s="417"/>
      <c r="L9" s="417"/>
      <c r="M9" s="417"/>
      <c r="N9" s="16"/>
      <c r="O9" s="16"/>
      <c r="P9" s="16"/>
      <c r="Q9" s="16"/>
      <c r="R9" s="16"/>
      <c r="S9" s="16"/>
      <c r="T9" s="16"/>
      <c r="U9" s="16"/>
      <c r="V9" s="415"/>
      <c r="W9" s="415"/>
      <c r="X9" s="415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Y9" s="79"/>
      <c r="AZ9" s="79"/>
    </row>
    <row r="10" spans="1:52" s="3" customFormat="1" ht="15.6" customHeight="1" x14ac:dyDescent="0.15">
      <c r="A10" s="49" t="s">
        <v>5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Y10" s="79"/>
      <c r="AZ10" s="79"/>
    </row>
    <row r="11" spans="1:52" s="3" customFormat="1" ht="15.6" customHeight="1" x14ac:dyDescent="0.15">
      <c r="A11" s="49"/>
      <c r="B11" s="549" t="s">
        <v>67</v>
      </c>
      <c r="C11" s="550"/>
      <c r="D11" s="550"/>
      <c r="E11" s="550"/>
      <c r="F11" s="550"/>
      <c r="G11" s="550"/>
      <c r="H11" s="551"/>
      <c r="I11" s="555" t="s">
        <v>130</v>
      </c>
      <c r="J11" s="556"/>
      <c r="K11" s="556"/>
      <c r="L11" s="556"/>
      <c r="M11" s="557"/>
      <c r="N11" s="555" t="s">
        <v>131</v>
      </c>
      <c r="O11" s="556"/>
      <c r="P11" s="556"/>
      <c r="Q11" s="556"/>
      <c r="R11" s="557"/>
      <c r="S11" s="561" t="s">
        <v>13</v>
      </c>
      <c r="T11" s="556"/>
      <c r="U11" s="556"/>
      <c r="V11" s="556"/>
      <c r="W11" s="557"/>
      <c r="X11" s="29"/>
      <c r="Y11" s="581" t="s">
        <v>68</v>
      </c>
      <c r="Z11" s="581"/>
      <c r="AA11" s="581"/>
      <c r="AB11" s="30"/>
      <c r="AC11" s="561" t="s">
        <v>81</v>
      </c>
      <c r="AD11" s="556"/>
      <c r="AE11" s="556"/>
      <c r="AF11" s="556"/>
      <c r="AG11" s="557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Y11" s="79"/>
      <c r="AZ11" s="79"/>
    </row>
    <row r="12" spans="1:52" s="3" customFormat="1" ht="15.6" customHeight="1" x14ac:dyDescent="0.15">
      <c r="A12" s="49"/>
      <c r="B12" s="552"/>
      <c r="C12" s="553"/>
      <c r="D12" s="553"/>
      <c r="E12" s="553"/>
      <c r="F12" s="553"/>
      <c r="G12" s="553"/>
      <c r="H12" s="554"/>
      <c r="I12" s="558"/>
      <c r="J12" s="559"/>
      <c r="K12" s="559"/>
      <c r="L12" s="559"/>
      <c r="M12" s="560"/>
      <c r="N12" s="558"/>
      <c r="O12" s="559"/>
      <c r="P12" s="559"/>
      <c r="Q12" s="559"/>
      <c r="R12" s="560"/>
      <c r="S12" s="558"/>
      <c r="T12" s="559"/>
      <c r="U12" s="559"/>
      <c r="V12" s="559"/>
      <c r="W12" s="560"/>
      <c r="X12" s="31"/>
      <c r="Y12" s="581" t="s">
        <v>69</v>
      </c>
      <c r="Z12" s="581"/>
      <c r="AA12" s="581"/>
      <c r="AB12" s="32"/>
      <c r="AC12" s="558"/>
      <c r="AD12" s="559"/>
      <c r="AE12" s="559"/>
      <c r="AF12" s="559"/>
      <c r="AG12" s="560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Y12" s="79"/>
      <c r="AZ12" s="79"/>
    </row>
    <row r="13" spans="1:52" s="3" customFormat="1" ht="15.6" customHeight="1" x14ac:dyDescent="0.15">
      <c r="A13" s="49"/>
      <c r="B13" s="427" t="s">
        <v>126</v>
      </c>
      <c r="C13" s="428"/>
      <c r="D13" s="428"/>
      <c r="E13" s="428"/>
      <c r="F13" s="428"/>
      <c r="G13" s="428"/>
      <c r="H13" s="429"/>
      <c r="I13" s="570">
        <v>2329</v>
      </c>
      <c r="J13" s="571"/>
      <c r="K13" s="571"/>
      <c r="L13" s="571"/>
      <c r="M13" s="572"/>
      <c r="N13" s="570">
        <v>3076</v>
      </c>
      <c r="O13" s="571"/>
      <c r="P13" s="571"/>
      <c r="Q13" s="571"/>
      <c r="R13" s="572"/>
      <c r="S13" s="570">
        <v>28</v>
      </c>
      <c r="T13" s="571"/>
      <c r="U13" s="571"/>
      <c r="V13" s="571"/>
      <c r="W13" s="572"/>
      <c r="X13" s="582">
        <f t="shared" ref="X13:X16" si="0">I13/S13</f>
        <v>83.178571428571431</v>
      </c>
      <c r="Y13" s="583"/>
      <c r="Z13" s="583"/>
      <c r="AA13" s="583"/>
      <c r="AB13" s="34"/>
      <c r="AC13" s="584">
        <v>13.65933373002833</v>
      </c>
      <c r="AD13" s="585"/>
      <c r="AE13" s="585"/>
      <c r="AF13" s="585"/>
      <c r="AG13" s="586"/>
      <c r="AH13" s="568"/>
      <c r="AI13" s="569"/>
      <c r="AJ13" s="569"/>
      <c r="AK13" s="569"/>
      <c r="AL13" s="16"/>
      <c r="AM13" s="18"/>
      <c r="AN13" s="16"/>
      <c r="AO13" s="16"/>
      <c r="AP13" s="16"/>
      <c r="AQ13" s="16"/>
      <c r="AR13" s="16"/>
      <c r="AS13" s="16"/>
      <c r="AT13" s="16"/>
      <c r="AU13" s="16"/>
      <c r="AY13" s="79"/>
      <c r="AZ13" s="79"/>
    </row>
    <row r="14" spans="1:52" s="3" customFormat="1" ht="15.6" customHeight="1" x14ac:dyDescent="0.15">
      <c r="A14" s="49"/>
      <c r="B14" s="427" t="s">
        <v>129</v>
      </c>
      <c r="C14" s="428"/>
      <c r="D14" s="428"/>
      <c r="E14" s="428"/>
      <c r="F14" s="428"/>
      <c r="G14" s="428"/>
      <c r="H14" s="429"/>
      <c r="I14" s="570">
        <v>2409</v>
      </c>
      <c r="J14" s="571"/>
      <c r="K14" s="571"/>
      <c r="L14" s="571"/>
      <c r="M14" s="572"/>
      <c r="N14" s="570">
        <v>3167</v>
      </c>
      <c r="O14" s="571"/>
      <c r="P14" s="571"/>
      <c r="Q14" s="571"/>
      <c r="R14" s="572"/>
      <c r="S14" s="573">
        <v>28</v>
      </c>
      <c r="T14" s="574"/>
      <c r="U14" s="574"/>
      <c r="V14" s="574"/>
      <c r="W14" s="575"/>
      <c r="X14" s="576">
        <f>I14/S14</f>
        <v>86.035714285714292</v>
      </c>
      <c r="Y14" s="577"/>
      <c r="Z14" s="577"/>
      <c r="AA14" s="577"/>
      <c r="AB14" s="23"/>
      <c r="AC14" s="578">
        <v>14.09717121808996</v>
      </c>
      <c r="AD14" s="579"/>
      <c r="AE14" s="579"/>
      <c r="AF14" s="579"/>
      <c r="AG14" s="580"/>
      <c r="AH14" s="568"/>
      <c r="AI14" s="569"/>
      <c r="AJ14" s="569"/>
      <c r="AK14" s="569"/>
      <c r="AL14" s="16"/>
      <c r="AM14" s="18"/>
      <c r="AN14" s="16"/>
      <c r="AO14" s="16"/>
      <c r="AP14" s="16"/>
      <c r="AQ14" s="16"/>
      <c r="AR14" s="16"/>
      <c r="AS14" s="16"/>
      <c r="AT14" s="16"/>
      <c r="AU14" s="16"/>
      <c r="AY14" s="79"/>
      <c r="AZ14" s="79"/>
    </row>
    <row r="15" spans="1:52" s="3" customFormat="1" ht="15.6" customHeight="1" x14ac:dyDescent="0.15">
      <c r="A15" s="49"/>
      <c r="B15" s="589" t="s">
        <v>144</v>
      </c>
      <c r="C15" s="589"/>
      <c r="D15" s="589"/>
      <c r="E15" s="589"/>
      <c r="F15" s="589"/>
      <c r="G15" s="589"/>
      <c r="H15" s="589"/>
      <c r="I15" s="570">
        <v>2478</v>
      </c>
      <c r="J15" s="571"/>
      <c r="K15" s="571"/>
      <c r="L15" s="571"/>
      <c r="M15" s="572"/>
      <c r="N15" s="570">
        <v>3222</v>
      </c>
      <c r="O15" s="571"/>
      <c r="P15" s="571"/>
      <c r="Q15" s="571"/>
      <c r="R15" s="572"/>
      <c r="S15" s="570">
        <v>29</v>
      </c>
      <c r="T15" s="571"/>
      <c r="U15" s="571"/>
      <c r="V15" s="571"/>
      <c r="W15" s="572"/>
      <c r="X15" s="576">
        <f t="shared" si="0"/>
        <v>85.448275862068968</v>
      </c>
      <c r="Y15" s="577"/>
      <c r="Z15" s="577"/>
      <c r="AA15" s="577"/>
      <c r="AB15" s="23"/>
      <c r="AC15" s="578">
        <v>14.375008365344719</v>
      </c>
      <c r="AD15" s="579"/>
      <c r="AE15" s="579"/>
      <c r="AF15" s="579"/>
      <c r="AG15" s="580"/>
      <c r="AH15" s="587"/>
      <c r="AI15" s="588"/>
      <c r="AJ15" s="588"/>
      <c r="AK15" s="588"/>
      <c r="AL15" s="14"/>
      <c r="AM15" s="18"/>
      <c r="AN15" s="14"/>
      <c r="AO15" s="16"/>
      <c r="AP15" s="16"/>
      <c r="AQ15" s="16"/>
      <c r="AR15" s="16"/>
      <c r="AS15" s="16"/>
      <c r="AT15" s="16"/>
      <c r="AU15" s="16"/>
      <c r="AY15" s="79"/>
      <c r="AZ15" s="79"/>
    </row>
    <row r="16" spans="1:52" s="3" customFormat="1" ht="15.6" customHeight="1" x14ac:dyDescent="0.15">
      <c r="A16" s="49"/>
      <c r="B16" s="589" t="s">
        <v>148</v>
      </c>
      <c r="C16" s="589"/>
      <c r="D16" s="589"/>
      <c r="E16" s="589"/>
      <c r="F16" s="589"/>
      <c r="G16" s="589"/>
      <c r="H16" s="589"/>
      <c r="I16" s="570">
        <v>2523</v>
      </c>
      <c r="J16" s="571"/>
      <c r="K16" s="571"/>
      <c r="L16" s="571"/>
      <c r="M16" s="572"/>
      <c r="N16" s="570">
        <v>3258</v>
      </c>
      <c r="O16" s="571"/>
      <c r="P16" s="571"/>
      <c r="Q16" s="571"/>
      <c r="R16" s="572"/>
      <c r="S16" s="570">
        <v>30</v>
      </c>
      <c r="T16" s="571"/>
      <c r="U16" s="571"/>
      <c r="V16" s="571"/>
      <c r="W16" s="572"/>
      <c r="X16" s="576">
        <f t="shared" si="0"/>
        <v>84.1</v>
      </c>
      <c r="Y16" s="577"/>
      <c r="Z16" s="577"/>
      <c r="AA16" s="577"/>
      <c r="AB16" s="23"/>
      <c r="AC16" s="578">
        <v>14.560112977181111</v>
      </c>
      <c r="AD16" s="579"/>
      <c r="AE16" s="579"/>
      <c r="AF16" s="579"/>
      <c r="AG16" s="580"/>
      <c r="AH16" s="587"/>
      <c r="AI16" s="588"/>
      <c r="AJ16" s="588"/>
      <c r="AK16" s="588"/>
      <c r="AL16" s="14"/>
      <c r="AM16" s="18"/>
      <c r="AN16" s="14"/>
      <c r="AO16" s="14"/>
      <c r="AP16" s="14"/>
      <c r="AQ16" s="14"/>
      <c r="AR16" s="14"/>
      <c r="AS16" s="14"/>
      <c r="AT16" s="14"/>
      <c r="AU16" s="14"/>
      <c r="AY16" s="79"/>
      <c r="AZ16" s="79"/>
    </row>
    <row r="17" spans="1:52" s="3" customFormat="1" ht="15.6" customHeight="1" x14ac:dyDescent="0.15">
      <c r="A17" s="49"/>
      <c r="B17" s="604" t="s">
        <v>169</v>
      </c>
      <c r="C17" s="604"/>
      <c r="D17" s="604"/>
      <c r="E17" s="604"/>
      <c r="F17" s="604"/>
      <c r="G17" s="604"/>
      <c r="H17" s="604"/>
      <c r="I17" s="605">
        <v>2564</v>
      </c>
      <c r="J17" s="606"/>
      <c r="K17" s="606"/>
      <c r="L17" s="606"/>
      <c r="M17" s="607"/>
      <c r="N17" s="605">
        <v>3302</v>
      </c>
      <c r="O17" s="606"/>
      <c r="P17" s="606"/>
      <c r="Q17" s="606"/>
      <c r="R17" s="607"/>
      <c r="S17" s="570">
        <v>31</v>
      </c>
      <c r="T17" s="571"/>
      <c r="U17" s="571"/>
      <c r="V17" s="571"/>
      <c r="W17" s="572"/>
      <c r="X17" s="576">
        <f>I17/S17</f>
        <v>82.709677419354833</v>
      </c>
      <c r="Y17" s="577"/>
      <c r="Z17" s="577"/>
      <c r="AA17" s="577"/>
      <c r="AB17" s="23"/>
      <c r="AC17" s="578">
        <v>14.773652608878509</v>
      </c>
      <c r="AD17" s="579"/>
      <c r="AE17" s="579"/>
      <c r="AF17" s="579"/>
      <c r="AG17" s="580"/>
      <c r="AH17" s="587"/>
      <c r="AI17" s="588"/>
      <c r="AJ17" s="588"/>
      <c r="AK17" s="588"/>
      <c r="AL17" s="14"/>
      <c r="AM17" s="14"/>
      <c r="AN17" s="14"/>
      <c r="AO17" s="14"/>
      <c r="AP17" s="14"/>
      <c r="AQ17" s="14"/>
      <c r="AR17" s="14"/>
      <c r="AS17" s="14"/>
      <c r="AT17" s="14"/>
      <c r="AU17" s="39"/>
      <c r="AV17" s="38"/>
      <c r="AX17" s="596"/>
      <c r="AY17" s="596"/>
      <c r="AZ17" s="79"/>
    </row>
    <row r="18" spans="1:52" s="3" customFormat="1" ht="15.6" customHeight="1" x14ac:dyDescent="0.15">
      <c r="A18" s="49"/>
      <c r="B18" s="597" t="s">
        <v>213</v>
      </c>
      <c r="C18" s="597"/>
      <c r="D18" s="597"/>
      <c r="E18" s="597"/>
      <c r="F18" s="597"/>
      <c r="G18" s="597"/>
      <c r="H18" s="597"/>
      <c r="I18" s="598">
        <f>2561+4</f>
        <v>2565</v>
      </c>
      <c r="J18" s="599"/>
      <c r="K18" s="599"/>
      <c r="L18" s="599"/>
      <c r="M18" s="600"/>
      <c r="N18" s="598">
        <f>3243+4</f>
        <v>3247</v>
      </c>
      <c r="O18" s="599"/>
      <c r="P18" s="599"/>
      <c r="Q18" s="599"/>
      <c r="R18" s="600"/>
      <c r="S18" s="570">
        <v>31</v>
      </c>
      <c r="T18" s="571"/>
      <c r="U18" s="571"/>
      <c r="V18" s="571"/>
      <c r="W18" s="572"/>
      <c r="X18" s="576">
        <f>I18/S18</f>
        <v>82.741935483870961</v>
      </c>
      <c r="Y18" s="577"/>
      <c r="Z18" s="577"/>
      <c r="AA18" s="577"/>
      <c r="AB18" s="23"/>
      <c r="AC18" s="601">
        <v>14.49838361106646</v>
      </c>
      <c r="AD18" s="602"/>
      <c r="AE18" s="602"/>
      <c r="AF18" s="602"/>
      <c r="AG18" s="603"/>
      <c r="AH18" s="883"/>
      <c r="AI18" s="884"/>
      <c r="AJ18" s="884"/>
      <c r="AK18" s="884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38"/>
      <c r="AX18" s="413"/>
      <c r="AY18" s="413"/>
      <c r="AZ18" s="79"/>
    </row>
    <row r="19" spans="1:52" s="1" customFormat="1" ht="15.6" customHeight="1" x14ac:dyDescent="0.15">
      <c r="A19" s="49"/>
      <c r="B19" s="432"/>
      <c r="C19" s="16"/>
      <c r="D19" s="590" t="s">
        <v>79</v>
      </c>
      <c r="E19" s="590"/>
      <c r="F19" s="590"/>
      <c r="G19" s="590"/>
      <c r="H19" s="590"/>
      <c r="I19" s="591">
        <v>92</v>
      </c>
      <c r="J19" s="592"/>
      <c r="K19" s="592"/>
      <c r="L19" s="592"/>
      <c r="M19" s="593"/>
      <c r="N19" s="594">
        <v>179</v>
      </c>
      <c r="O19" s="594"/>
      <c r="P19" s="594"/>
      <c r="Q19" s="594"/>
      <c r="R19" s="594"/>
      <c r="S19" s="432"/>
      <c r="T19" s="18"/>
      <c r="U19" s="16"/>
      <c r="V19" s="16"/>
      <c r="W19" s="16"/>
      <c r="X19" s="16"/>
      <c r="Y19" s="16"/>
      <c r="Z19" s="16"/>
      <c r="AA19" s="16"/>
      <c r="AB19" s="414"/>
      <c r="AC19" s="414"/>
      <c r="AD19" s="414"/>
      <c r="AE19" s="414"/>
      <c r="AF19" s="16"/>
      <c r="AG19" s="16"/>
      <c r="AH19" s="16"/>
      <c r="AI19" s="71"/>
      <c r="AJ19" s="16"/>
      <c r="AK19" s="16"/>
      <c r="AL19" s="16"/>
      <c r="AM19" s="16"/>
      <c r="AN19" s="16"/>
      <c r="AO19" s="16"/>
      <c r="AP19" s="13"/>
      <c r="AQ19" s="13"/>
      <c r="AR19" s="13"/>
      <c r="AS19" s="13"/>
      <c r="AT19" s="13"/>
      <c r="AU19" s="13"/>
      <c r="AY19" s="403"/>
      <c r="AZ19" s="403"/>
    </row>
    <row r="20" spans="1:52" s="1" customFormat="1" ht="15.6" customHeight="1" x14ac:dyDescent="0.15">
      <c r="A20" s="49"/>
      <c r="B20" s="432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545"/>
      <c r="AI20" s="545"/>
      <c r="AJ20" s="545"/>
      <c r="AK20" s="545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Y20" s="403"/>
      <c r="AZ20" s="403"/>
    </row>
    <row r="21" spans="1:52" s="14" customFormat="1" ht="15.6" customHeight="1" x14ac:dyDescent="0.15">
      <c r="A21" s="50" t="s">
        <v>124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24"/>
      <c r="X21" s="24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Y21" s="80"/>
      <c r="AZ21" s="80"/>
    </row>
    <row r="22" spans="1:52" s="14" customFormat="1" ht="15.6" customHeight="1" x14ac:dyDescent="0.15">
      <c r="A22" s="416" t="s">
        <v>171</v>
      </c>
      <c r="B22" s="25"/>
      <c r="C22" s="25"/>
      <c r="D22" s="421"/>
      <c r="E22" s="421"/>
      <c r="F22" s="421"/>
      <c r="G22" s="421"/>
      <c r="H22" s="22"/>
      <c r="I22" s="421"/>
      <c r="J22" s="421"/>
      <c r="K22" s="421"/>
      <c r="L22" s="1" t="s">
        <v>73</v>
      </c>
      <c r="M22" s="22"/>
      <c r="N22" s="421"/>
      <c r="O22" s="421"/>
      <c r="P22" s="421"/>
      <c r="Q22" s="421"/>
      <c r="R22" s="22"/>
      <c r="S22" s="435"/>
      <c r="T22" s="421"/>
      <c r="U22" s="421"/>
      <c r="V22" s="436"/>
      <c r="W22" s="436"/>
      <c r="X22" s="26"/>
      <c r="Y22" s="435"/>
      <c r="Z22" s="435"/>
      <c r="AA22" s="435"/>
      <c r="AB22" s="436"/>
      <c r="AC22" s="421"/>
      <c r="AD22" s="421"/>
      <c r="AE22" s="421"/>
      <c r="AF22" s="421"/>
      <c r="AG22" s="421"/>
      <c r="AH22" s="24"/>
      <c r="AI22" s="24"/>
      <c r="AJ22" s="24"/>
      <c r="AK22" s="24"/>
      <c r="AL22" s="24"/>
      <c r="AM22" s="24"/>
      <c r="AY22" s="80"/>
      <c r="AZ22" s="80"/>
    </row>
    <row r="23" spans="1:52" s="14" customFormat="1" ht="15.6" customHeight="1" x14ac:dyDescent="0.15">
      <c r="A23" s="52"/>
      <c r="B23" s="595" t="s">
        <v>14</v>
      </c>
      <c r="C23" s="595"/>
      <c r="D23" s="595" t="s">
        <v>15</v>
      </c>
      <c r="E23" s="595"/>
      <c r="F23" s="595"/>
      <c r="G23" s="595"/>
      <c r="H23" s="595"/>
      <c r="I23" s="595" t="s">
        <v>16</v>
      </c>
      <c r="J23" s="595"/>
      <c r="K23" s="595"/>
      <c r="L23" s="595"/>
      <c r="M23" s="595"/>
      <c r="N23" s="595" t="s">
        <v>17</v>
      </c>
      <c r="O23" s="595"/>
      <c r="P23" s="595"/>
      <c r="Q23" s="595"/>
      <c r="R23" s="595"/>
      <c r="S23" s="608" t="s">
        <v>18</v>
      </c>
      <c r="T23" s="609"/>
      <c r="U23" s="609"/>
      <c r="V23" s="609"/>
      <c r="W23" s="609"/>
      <c r="X23" s="610"/>
      <c r="Y23" s="608" t="s">
        <v>19</v>
      </c>
      <c r="Z23" s="609"/>
      <c r="AA23" s="609"/>
      <c r="AB23" s="609"/>
      <c r="AC23" s="609"/>
      <c r="AD23" s="610"/>
      <c r="AE23" s="608" t="s">
        <v>72</v>
      </c>
      <c r="AF23" s="609"/>
      <c r="AG23" s="610"/>
      <c r="AH23" s="13"/>
      <c r="AI23" s="13"/>
      <c r="AJ23" s="13"/>
      <c r="AK23" s="13"/>
      <c r="AL23" s="13"/>
      <c r="AM23" s="13"/>
      <c r="AY23" s="80"/>
      <c r="AZ23" s="80"/>
    </row>
    <row r="24" spans="1:52" s="14" customFormat="1" ht="15.6" customHeight="1" x14ac:dyDescent="0.15">
      <c r="A24" s="49"/>
      <c r="B24" s="611" t="s">
        <v>9</v>
      </c>
      <c r="C24" s="611"/>
      <c r="D24" s="612">
        <v>365</v>
      </c>
      <c r="E24" s="612"/>
      <c r="F24" s="612"/>
      <c r="G24" s="612"/>
      <c r="H24" s="612"/>
      <c r="I24" s="612">
        <f>SUM(L25:M28)</f>
        <v>29</v>
      </c>
      <c r="J24" s="612"/>
      <c r="K24" s="612"/>
      <c r="L24" s="612"/>
      <c r="M24" s="612"/>
      <c r="N24" s="612">
        <f>SUM(Q25:R29)</f>
        <v>20</v>
      </c>
      <c r="O24" s="612"/>
      <c r="P24" s="612"/>
      <c r="Q24" s="612"/>
      <c r="R24" s="612"/>
      <c r="S24" s="613">
        <v>327</v>
      </c>
      <c r="T24" s="614"/>
      <c r="U24" s="614"/>
      <c r="V24" s="614"/>
      <c r="W24" s="614"/>
      <c r="X24" s="615"/>
      <c r="Y24" s="613">
        <v>286</v>
      </c>
      <c r="Z24" s="614"/>
      <c r="AA24" s="614"/>
      <c r="AB24" s="614"/>
      <c r="AC24" s="614"/>
      <c r="AD24" s="615"/>
      <c r="AE24" s="613">
        <f>S24-Y24</f>
        <v>41</v>
      </c>
      <c r="AF24" s="614"/>
      <c r="AG24" s="615"/>
      <c r="AH24" s="16"/>
      <c r="AI24" s="13"/>
      <c r="AJ24" s="13"/>
      <c r="AK24" s="16"/>
      <c r="AL24" s="16"/>
      <c r="AM24" s="16"/>
      <c r="AY24" s="80"/>
      <c r="AZ24" s="80"/>
    </row>
    <row r="25" spans="1:52" s="14" customFormat="1" ht="15.6" customHeight="1" x14ac:dyDescent="0.15">
      <c r="A25" s="49"/>
      <c r="B25" s="632" t="s">
        <v>21</v>
      </c>
      <c r="C25" s="633"/>
      <c r="D25" s="624"/>
      <c r="E25" s="625"/>
      <c r="F25" s="625"/>
      <c r="G25" s="626"/>
      <c r="H25" s="627"/>
      <c r="I25" s="57" t="s">
        <v>22</v>
      </c>
      <c r="J25" s="58"/>
      <c r="K25" s="58"/>
      <c r="L25" s="622">
        <v>8</v>
      </c>
      <c r="M25" s="623"/>
      <c r="N25" s="57" t="s">
        <v>62</v>
      </c>
      <c r="O25" s="58"/>
      <c r="P25" s="58"/>
      <c r="Q25" s="622">
        <v>13</v>
      </c>
      <c r="R25" s="623"/>
      <c r="S25" s="411" t="s">
        <v>23</v>
      </c>
      <c r="T25" s="412"/>
      <c r="U25" s="412"/>
      <c r="V25" s="412"/>
      <c r="W25" s="622">
        <v>54</v>
      </c>
      <c r="X25" s="623"/>
      <c r="Y25" s="57" t="s">
        <v>97</v>
      </c>
      <c r="Z25" s="412"/>
      <c r="AA25" s="412"/>
      <c r="AB25" s="412"/>
      <c r="AC25" s="622">
        <v>0</v>
      </c>
      <c r="AD25" s="623"/>
      <c r="AE25" s="424"/>
      <c r="AF25" s="425"/>
      <c r="AG25" s="5"/>
      <c r="AH25" s="16"/>
      <c r="AI25" s="13"/>
      <c r="AJ25" s="13"/>
      <c r="AK25" s="16"/>
      <c r="AL25" s="16"/>
      <c r="AM25" s="16"/>
      <c r="AY25" s="80"/>
      <c r="AZ25" s="80"/>
    </row>
    <row r="26" spans="1:52" s="14" customFormat="1" ht="15.6" customHeight="1" x14ac:dyDescent="0.15">
      <c r="A26" s="49"/>
      <c r="B26" s="634"/>
      <c r="C26" s="635"/>
      <c r="D26" s="620"/>
      <c r="E26" s="621"/>
      <c r="F26" s="621"/>
      <c r="G26" s="621"/>
      <c r="H26" s="59"/>
      <c r="I26" s="60" t="s">
        <v>0</v>
      </c>
      <c r="J26" s="61"/>
      <c r="K26" s="61"/>
      <c r="L26" s="616">
        <v>2</v>
      </c>
      <c r="M26" s="617"/>
      <c r="N26" s="60" t="s">
        <v>3</v>
      </c>
      <c r="O26" s="61"/>
      <c r="P26" s="61"/>
      <c r="Q26" s="616">
        <v>0</v>
      </c>
      <c r="R26" s="617"/>
      <c r="S26" s="409" t="s">
        <v>90</v>
      </c>
      <c r="T26" s="410"/>
      <c r="U26" s="410"/>
      <c r="V26" s="410"/>
      <c r="W26" s="616">
        <v>1</v>
      </c>
      <c r="X26" s="617"/>
      <c r="Y26" s="60" t="s">
        <v>4</v>
      </c>
      <c r="Z26" s="61"/>
      <c r="AA26" s="61"/>
      <c r="AB26" s="61"/>
      <c r="AC26" s="616">
        <v>105</v>
      </c>
      <c r="AD26" s="617"/>
      <c r="AE26" s="422"/>
      <c r="AF26" s="423"/>
      <c r="AG26" s="6"/>
      <c r="AH26" s="16"/>
      <c r="AI26" s="13"/>
      <c r="AJ26" s="13"/>
      <c r="AK26" s="16"/>
      <c r="AL26" s="16"/>
      <c r="AM26" s="16"/>
      <c r="AY26" s="80"/>
      <c r="AZ26" s="80"/>
    </row>
    <row r="27" spans="1:52" s="14" customFormat="1" ht="15.6" customHeight="1" x14ac:dyDescent="0.15">
      <c r="A27" s="49"/>
      <c r="B27" s="634"/>
      <c r="C27" s="635"/>
      <c r="D27" s="620"/>
      <c r="E27" s="621"/>
      <c r="F27" s="621"/>
      <c r="G27" s="621"/>
      <c r="H27" s="59"/>
      <c r="I27" s="60" t="s">
        <v>61</v>
      </c>
      <c r="J27" s="61"/>
      <c r="K27" s="61"/>
      <c r="L27" s="616">
        <v>4</v>
      </c>
      <c r="M27" s="617"/>
      <c r="N27" s="60" t="s">
        <v>0</v>
      </c>
      <c r="O27" s="61"/>
      <c r="P27" s="61"/>
      <c r="Q27" s="616">
        <v>0</v>
      </c>
      <c r="R27" s="617"/>
      <c r="S27" s="409" t="s">
        <v>91</v>
      </c>
      <c r="T27" s="410"/>
      <c r="U27" s="410"/>
      <c r="V27" s="410"/>
      <c r="W27" s="616">
        <v>9</v>
      </c>
      <c r="X27" s="617"/>
      <c r="Y27" s="60" t="s">
        <v>2</v>
      </c>
      <c r="Z27" s="62"/>
      <c r="AA27" s="62"/>
      <c r="AB27" s="62"/>
      <c r="AC27" s="616">
        <v>17</v>
      </c>
      <c r="AD27" s="617"/>
      <c r="AE27" s="422"/>
      <c r="AF27" s="423"/>
      <c r="AG27" s="6"/>
      <c r="AH27" s="16"/>
      <c r="AI27" s="13"/>
      <c r="AJ27" s="13"/>
      <c r="AK27" s="16"/>
      <c r="AL27" s="16"/>
      <c r="AM27" s="16"/>
      <c r="AQ27" s="18"/>
      <c r="AY27" s="80"/>
      <c r="AZ27" s="80"/>
    </row>
    <row r="28" spans="1:52" s="14" customFormat="1" ht="15.6" customHeight="1" x14ac:dyDescent="0.15">
      <c r="A28" s="49"/>
      <c r="B28" s="634"/>
      <c r="C28" s="635"/>
      <c r="D28" s="620"/>
      <c r="E28" s="621"/>
      <c r="F28" s="621"/>
      <c r="G28" s="621"/>
      <c r="H28" s="59"/>
      <c r="I28" s="60" t="s">
        <v>60</v>
      </c>
      <c r="J28" s="61"/>
      <c r="K28" s="61"/>
      <c r="L28" s="616">
        <v>15</v>
      </c>
      <c r="M28" s="617"/>
      <c r="N28" s="60" t="s">
        <v>4</v>
      </c>
      <c r="O28" s="61"/>
      <c r="P28" s="61"/>
      <c r="Q28" s="616">
        <v>0</v>
      </c>
      <c r="R28" s="617"/>
      <c r="S28" s="409" t="s">
        <v>92</v>
      </c>
      <c r="T28" s="410"/>
      <c r="U28" s="410"/>
      <c r="V28" s="410"/>
      <c r="W28" s="616">
        <v>54</v>
      </c>
      <c r="X28" s="617"/>
      <c r="Y28" s="60" t="s">
        <v>98</v>
      </c>
      <c r="Z28" s="61"/>
      <c r="AA28" s="61"/>
      <c r="AB28" s="61"/>
      <c r="AC28" s="616">
        <v>48</v>
      </c>
      <c r="AD28" s="617"/>
      <c r="AE28" s="422"/>
      <c r="AF28" s="423"/>
      <c r="AG28" s="6"/>
      <c r="AH28" s="16"/>
      <c r="AI28" s="13"/>
      <c r="AJ28" s="13" t="s">
        <v>64</v>
      </c>
      <c r="AK28" s="16"/>
      <c r="AL28" s="16"/>
      <c r="AM28" s="16"/>
      <c r="AY28" s="80"/>
      <c r="AZ28" s="80"/>
    </row>
    <row r="29" spans="1:52" s="14" customFormat="1" ht="15.6" customHeight="1" x14ac:dyDescent="0.15">
      <c r="A29" s="49"/>
      <c r="B29" s="634"/>
      <c r="C29" s="635"/>
      <c r="D29" s="620"/>
      <c r="E29" s="621"/>
      <c r="F29" s="621"/>
      <c r="G29" s="621"/>
      <c r="H29" s="59"/>
      <c r="I29" s="60"/>
      <c r="J29" s="61"/>
      <c r="K29" s="61"/>
      <c r="L29" s="61"/>
      <c r="M29" s="63"/>
      <c r="N29" s="60" t="s">
        <v>60</v>
      </c>
      <c r="O29" s="61"/>
      <c r="P29" s="61"/>
      <c r="Q29" s="616">
        <v>7</v>
      </c>
      <c r="R29" s="617"/>
      <c r="S29" s="409" t="s">
        <v>94</v>
      </c>
      <c r="T29" s="410"/>
      <c r="U29" s="410"/>
      <c r="V29" s="410"/>
      <c r="W29" s="616">
        <v>16</v>
      </c>
      <c r="X29" s="617"/>
      <c r="Y29" s="60" t="s">
        <v>99</v>
      </c>
      <c r="Z29" s="61"/>
      <c r="AA29" s="61"/>
      <c r="AB29" s="61"/>
      <c r="AC29" s="618">
        <v>3</v>
      </c>
      <c r="AD29" s="619"/>
      <c r="AE29" s="422"/>
      <c r="AF29" s="423"/>
      <c r="AG29" s="6"/>
      <c r="AH29" s="16"/>
      <c r="AI29" s="13"/>
      <c r="AJ29" s="13"/>
      <c r="AK29" s="16"/>
      <c r="AL29" s="16"/>
      <c r="AM29" s="16"/>
      <c r="AY29" s="80"/>
      <c r="AZ29" s="80"/>
    </row>
    <row r="30" spans="1:52" s="14" customFormat="1" ht="15.6" customHeight="1" x14ac:dyDescent="0.15">
      <c r="A30" s="49"/>
      <c r="B30" s="634"/>
      <c r="C30" s="635"/>
      <c r="D30" s="409"/>
      <c r="E30" s="410"/>
      <c r="F30" s="410"/>
      <c r="G30" s="410"/>
      <c r="H30" s="59"/>
      <c r="I30" s="60"/>
      <c r="J30" s="61"/>
      <c r="K30" s="61"/>
      <c r="L30" s="61"/>
      <c r="M30" s="63"/>
      <c r="N30" s="60"/>
      <c r="O30" s="61"/>
      <c r="P30" s="61"/>
      <c r="Q30" s="404"/>
      <c r="R30" s="405"/>
      <c r="S30" s="409" t="s">
        <v>93</v>
      </c>
      <c r="T30" s="410"/>
      <c r="U30" s="410"/>
      <c r="V30" s="410"/>
      <c r="W30" s="616">
        <v>0</v>
      </c>
      <c r="X30" s="617"/>
      <c r="Y30" s="60" t="s">
        <v>100</v>
      </c>
      <c r="Z30" s="61"/>
      <c r="AA30" s="61"/>
      <c r="AB30" s="61"/>
      <c r="AC30" s="618">
        <v>12</v>
      </c>
      <c r="AD30" s="619"/>
      <c r="AE30" s="422"/>
      <c r="AF30" s="423"/>
      <c r="AG30" s="6"/>
      <c r="AH30" s="16"/>
      <c r="AI30" s="13"/>
      <c r="AJ30" s="13"/>
      <c r="AK30" s="16"/>
      <c r="AL30" s="16"/>
      <c r="AM30" s="16"/>
      <c r="AY30" s="80"/>
      <c r="AZ30" s="80"/>
    </row>
    <row r="31" spans="1:52" s="14" customFormat="1" ht="15.6" customHeight="1" x14ac:dyDescent="0.15">
      <c r="A31" s="49"/>
      <c r="B31" s="634"/>
      <c r="C31" s="635"/>
      <c r="D31" s="409"/>
      <c r="E31" s="410"/>
      <c r="F31" s="410"/>
      <c r="G31" s="410"/>
      <c r="H31" s="59"/>
      <c r="I31" s="60"/>
      <c r="J31" s="61"/>
      <c r="K31" s="61"/>
      <c r="L31" s="61"/>
      <c r="M31" s="63"/>
      <c r="N31" s="60"/>
      <c r="O31" s="61"/>
      <c r="P31" s="61"/>
      <c r="Q31" s="404"/>
      <c r="R31" s="405"/>
      <c r="S31" s="409" t="s">
        <v>95</v>
      </c>
      <c r="T31" s="410"/>
      <c r="U31" s="410"/>
      <c r="V31" s="410"/>
      <c r="W31" s="616">
        <v>29</v>
      </c>
      <c r="X31" s="617"/>
      <c r="Y31" s="60" t="s">
        <v>101</v>
      </c>
      <c r="Z31" s="61"/>
      <c r="AA31" s="61"/>
      <c r="AB31" s="61"/>
      <c r="AC31" s="618">
        <v>4</v>
      </c>
      <c r="AD31" s="619"/>
      <c r="AE31" s="422"/>
      <c r="AF31" s="423"/>
      <c r="AG31" s="6"/>
      <c r="AH31" s="16"/>
      <c r="AI31" s="16"/>
      <c r="AJ31" s="16"/>
      <c r="AK31" s="16"/>
      <c r="AL31" s="16"/>
      <c r="AM31" s="16"/>
      <c r="AY31" s="80"/>
      <c r="AZ31" s="80"/>
    </row>
    <row r="32" spans="1:52" s="14" customFormat="1" ht="15.6" customHeight="1" x14ac:dyDescent="0.15">
      <c r="A32" s="49"/>
      <c r="B32" s="634"/>
      <c r="C32" s="635"/>
      <c r="D32" s="409"/>
      <c r="E32" s="410"/>
      <c r="F32" s="410"/>
      <c r="G32" s="410"/>
      <c r="H32" s="59"/>
      <c r="I32" s="60"/>
      <c r="J32" s="61"/>
      <c r="K32" s="61"/>
      <c r="L32" s="61"/>
      <c r="M32" s="63"/>
      <c r="N32" s="60"/>
      <c r="O32" s="61"/>
      <c r="P32" s="61"/>
      <c r="Q32" s="404"/>
      <c r="R32" s="405"/>
      <c r="S32" s="409" t="s">
        <v>96</v>
      </c>
      <c r="T32" s="410"/>
      <c r="U32" s="410"/>
      <c r="V32" s="410"/>
      <c r="W32" s="616">
        <v>1</v>
      </c>
      <c r="X32" s="617"/>
      <c r="Y32" s="60" t="s">
        <v>103</v>
      </c>
      <c r="Z32" s="61"/>
      <c r="AA32" s="61"/>
      <c r="AB32" s="61"/>
      <c r="AC32" s="618">
        <v>22</v>
      </c>
      <c r="AD32" s="619"/>
      <c r="AE32" s="422"/>
      <c r="AF32" s="423"/>
      <c r="AG32" s="6"/>
      <c r="AH32" s="16"/>
      <c r="AI32" s="16"/>
      <c r="AJ32" s="16"/>
      <c r="AK32" s="16"/>
      <c r="AL32" s="16"/>
      <c r="AM32" s="16"/>
      <c r="AY32" s="80"/>
      <c r="AZ32" s="80"/>
    </row>
    <row r="33" spans="1:72" s="14" customFormat="1" ht="15.6" customHeight="1" x14ac:dyDescent="0.15">
      <c r="A33" s="49"/>
      <c r="B33" s="634"/>
      <c r="C33" s="635"/>
      <c r="D33" s="409"/>
      <c r="E33" s="410"/>
      <c r="F33" s="410"/>
      <c r="G33" s="410"/>
      <c r="H33" s="59"/>
      <c r="I33" s="60"/>
      <c r="J33" s="61"/>
      <c r="K33" s="61"/>
      <c r="L33" s="61"/>
      <c r="M33" s="63"/>
      <c r="N33" s="60"/>
      <c r="O33" s="61"/>
      <c r="P33" s="61"/>
      <c r="Q33" s="404"/>
      <c r="R33" s="405"/>
      <c r="S33" s="409" t="s">
        <v>80</v>
      </c>
      <c r="T33" s="410"/>
      <c r="U33" s="410"/>
      <c r="V33" s="410"/>
      <c r="W33" s="616">
        <v>112</v>
      </c>
      <c r="X33" s="617"/>
      <c r="Y33" s="60" t="s">
        <v>104</v>
      </c>
      <c r="Z33" s="61"/>
      <c r="AA33" s="61"/>
      <c r="AB33" s="61"/>
      <c r="AC33" s="618">
        <v>1</v>
      </c>
      <c r="AD33" s="619"/>
      <c r="AE33" s="422"/>
      <c r="AF33" s="423"/>
      <c r="AG33" s="6"/>
      <c r="AH33" s="16"/>
      <c r="AI33" s="16"/>
      <c r="AJ33" s="16"/>
      <c r="AK33" s="16"/>
      <c r="AL33" s="16"/>
      <c r="AM33" s="16"/>
      <c r="AY33" s="80"/>
      <c r="AZ33" s="80"/>
    </row>
    <row r="34" spans="1:72" s="3" customFormat="1" ht="15.6" customHeight="1" x14ac:dyDescent="0.15">
      <c r="A34" s="49"/>
      <c r="B34" s="634"/>
      <c r="C34" s="635"/>
      <c r="D34" s="409"/>
      <c r="E34" s="410"/>
      <c r="F34" s="410"/>
      <c r="G34" s="410"/>
      <c r="H34" s="59"/>
      <c r="I34" s="60"/>
      <c r="J34" s="61"/>
      <c r="K34" s="61"/>
      <c r="L34" s="61"/>
      <c r="M34" s="63"/>
      <c r="N34" s="60"/>
      <c r="O34" s="61"/>
      <c r="P34" s="61"/>
      <c r="Q34" s="404"/>
      <c r="R34" s="405"/>
      <c r="S34" s="409" t="s">
        <v>102</v>
      </c>
      <c r="T34" s="410"/>
      <c r="U34" s="410"/>
      <c r="V34" s="410"/>
      <c r="W34" s="616">
        <v>3</v>
      </c>
      <c r="X34" s="617"/>
      <c r="Y34" s="60" t="s">
        <v>105</v>
      </c>
      <c r="Z34" s="61"/>
      <c r="AA34" s="61"/>
      <c r="AB34" s="61"/>
      <c r="AC34" s="618">
        <v>45</v>
      </c>
      <c r="AD34" s="619"/>
      <c r="AE34" s="422"/>
      <c r="AF34" s="423"/>
      <c r="AG34" s="6"/>
      <c r="AH34" s="16"/>
      <c r="AI34" s="16"/>
      <c r="AJ34" s="16"/>
      <c r="AK34" s="16"/>
      <c r="AL34" s="16"/>
      <c r="AM34" s="16"/>
      <c r="AN34" s="14"/>
      <c r="AO34" s="14"/>
      <c r="AP34" s="14"/>
      <c r="AQ34" s="14"/>
      <c r="AR34" s="14"/>
      <c r="AS34" s="14"/>
      <c r="AT34" s="14"/>
      <c r="AU34" s="14"/>
      <c r="AY34" s="79"/>
      <c r="AZ34" s="79"/>
    </row>
    <row r="35" spans="1:72" s="2" customFormat="1" ht="15.6" customHeight="1" x14ac:dyDescent="0.15">
      <c r="A35" s="49"/>
      <c r="B35" s="636"/>
      <c r="C35" s="637"/>
      <c r="D35" s="628"/>
      <c r="E35" s="629"/>
      <c r="F35" s="629"/>
      <c r="G35" s="629"/>
      <c r="H35" s="64"/>
      <c r="I35" s="65"/>
      <c r="J35" s="66"/>
      <c r="K35" s="66"/>
      <c r="L35" s="66"/>
      <c r="M35" s="67"/>
      <c r="N35" s="65"/>
      <c r="O35" s="66"/>
      <c r="P35" s="66"/>
      <c r="Q35" s="66"/>
      <c r="R35" s="67"/>
      <c r="S35" s="406" t="s">
        <v>24</v>
      </c>
      <c r="T35" s="407"/>
      <c r="U35" s="407"/>
      <c r="V35" s="407"/>
      <c r="W35" s="630">
        <v>48</v>
      </c>
      <c r="X35" s="631"/>
      <c r="Y35" s="65" t="s">
        <v>24</v>
      </c>
      <c r="Z35" s="68"/>
      <c r="AA35" s="66"/>
      <c r="AB35" s="66"/>
      <c r="AC35" s="630">
        <v>29</v>
      </c>
      <c r="AD35" s="631"/>
      <c r="AE35" s="420"/>
      <c r="AF35" s="421"/>
      <c r="AG35" s="8"/>
      <c r="AH35" s="16"/>
      <c r="AI35" s="16"/>
      <c r="AJ35" s="16"/>
      <c r="AK35" s="16"/>
      <c r="AL35" s="16"/>
      <c r="AM35" s="16"/>
      <c r="AN35" s="537"/>
      <c r="AO35" s="537"/>
      <c r="AP35" s="537"/>
      <c r="AQ35" s="537"/>
      <c r="AR35" s="537"/>
      <c r="AS35" s="537"/>
      <c r="AT35" s="537"/>
      <c r="AU35" s="537"/>
      <c r="AY35" s="81"/>
      <c r="AZ35" s="81"/>
    </row>
    <row r="36" spans="1:72" s="14" customFormat="1" ht="15.6" customHeight="1" x14ac:dyDescent="0.15">
      <c r="A36" s="416" t="s">
        <v>215</v>
      </c>
      <c r="B36" s="227"/>
      <c r="C36" s="25"/>
      <c r="D36" s="421"/>
      <c r="E36" s="421"/>
      <c r="F36" s="421"/>
      <c r="G36" s="421"/>
      <c r="H36" s="48"/>
      <c r="I36" s="421"/>
      <c r="J36" s="421"/>
      <c r="K36" s="421"/>
      <c r="L36" s="421"/>
      <c r="M36" s="48"/>
      <c r="N36" s="421"/>
      <c r="O36" s="421"/>
      <c r="P36" s="421"/>
      <c r="Q36" s="421"/>
      <c r="R36" s="22"/>
      <c r="S36" s="435"/>
      <c r="T36" s="421"/>
      <c r="U36" s="421"/>
      <c r="V36" s="421"/>
      <c r="W36" s="436"/>
      <c r="X36" s="436"/>
      <c r="Y36" s="26"/>
      <c r="Z36" s="26"/>
      <c r="AA36" s="435"/>
      <c r="AB36" s="435"/>
      <c r="AC36" s="435"/>
      <c r="AD36" s="436"/>
      <c r="AE36" s="421"/>
      <c r="AF36" s="421"/>
      <c r="AG36" s="421"/>
      <c r="AH36" s="16"/>
      <c r="AI36" s="16"/>
      <c r="AJ36" s="16"/>
      <c r="AK36" s="16"/>
      <c r="AL36" s="18"/>
      <c r="AM36" s="16"/>
      <c r="AN36" s="17"/>
      <c r="AO36" s="10"/>
      <c r="AP36" s="10"/>
      <c r="AQ36" s="74"/>
      <c r="AR36" s="9"/>
      <c r="AS36" s="9"/>
      <c r="AT36" s="9"/>
      <c r="AU36" s="10"/>
      <c r="AV36" s="9"/>
      <c r="AW36" s="9"/>
      <c r="AX36" s="9"/>
      <c r="AY36" s="82"/>
      <c r="AZ36" s="82"/>
      <c r="BA36" s="9"/>
      <c r="BB36" s="9"/>
      <c r="BC36" s="9"/>
      <c r="BD36" s="9"/>
      <c r="BE36" s="10"/>
      <c r="BF36" s="9"/>
      <c r="BG36" s="9"/>
      <c r="BH36" s="9"/>
      <c r="BI36" s="11"/>
      <c r="BJ36" s="11"/>
      <c r="BK36" s="12"/>
      <c r="BL36" s="9"/>
      <c r="BM36" s="9"/>
      <c r="BN36" s="9"/>
      <c r="BO36" s="11"/>
      <c r="BP36" s="9"/>
      <c r="BQ36" s="9"/>
      <c r="BR36" s="9"/>
      <c r="BS36" s="9"/>
      <c r="BT36" s="423"/>
    </row>
    <row r="37" spans="1:72" s="14" customFormat="1" ht="15.6" customHeight="1" x14ac:dyDescent="0.15">
      <c r="A37" s="52"/>
      <c r="B37" s="595" t="s">
        <v>14</v>
      </c>
      <c r="C37" s="595"/>
      <c r="D37" s="595" t="s">
        <v>15</v>
      </c>
      <c r="E37" s="595"/>
      <c r="F37" s="595"/>
      <c r="G37" s="595"/>
      <c r="H37" s="595"/>
      <c r="I37" s="595" t="s">
        <v>16</v>
      </c>
      <c r="J37" s="595"/>
      <c r="K37" s="595"/>
      <c r="L37" s="595"/>
      <c r="M37" s="595"/>
      <c r="N37" s="595" t="s">
        <v>17</v>
      </c>
      <c r="O37" s="595"/>
      <c r="P37" s="595"/>
      <c r="Q37" s="595"/>
      <c r="R37" s="595"/>
      <c r="S37" s="608" t="s">
        <v>18</v>
      </c>
      <c r="T37" s="609"/>
      <c r="U37" s="609"/>
      <c r="V37" s="609"/>
      <c r="W37" s="609"/>
      <c r="X37" s="610"/>
      <c r="Y37" s="608" t="s">
        <v>19</v>
      </c>
      <c r="Z37" s="609"/>
      <c r="AA37" s="609"/>
      <c r="AB37" s="609"/>
      <c r="AC37" s="609"/>
      <c r="AD37" s="610"/>
      <c r="AE37" s="608" t="s">
        <v>72</v>
      </c>
      <c r="AF37" s="609"/>
      <c r="AG37" s="610"/>
      <c r="AH37" s="16"/>
      <c r="AI37" s="16"/>
      <c r="AJ37" s="16"/>
      <c r="AK37" s="16"/>
      <c r="AL37" s="16"/>
      <c r="AM37" s="16"/>
      <c r="AY37" s="80"/>
      <c r="AZ37" s="80"/>
    </row>
    <row r="38" spans="1:72" s="3" customFormat="1" ht="15.6" customHeight="1" x14ac:dyDescent="0.15">
      <c r="A38" s="49"/>
      <c r="B38" s="611" t="s">
        <v>9</v>
      </c>
      <c r="C38" s="611"/>
      <c r="D38" s="612">
        <f>25+35+25+24+27+31+35+24+25</f>
        <v>251</v>
      </c>
      <c r="E38" s="612"/>
      <c r="F38" s="612"/>
      <c r="G38" s="612"/>
      <c r="H38" s="612"/>
      <c r="I38" s="612">
        <f>3+4+5+0+0+0+1+3+0</f>
        <v>16</v>
      </c>
      <c r="J38" s="612"/>
      <c r="K38" s="612"/>
      <c r="L38" s="612"/>
      <c r="M38" s="612"/>
      <c r="N38" s="612">
        <f>1+0+4+1+3+3+5+4+1</f>
        <v>22</v>
      </c>
      <c r="O38" s="612"/>
      <c r="P38" s="612"/>
      <c r="Q38" s="612"/>
      <c r="R38" s="612"/>
      <c r="S38" s="638">
        <f>22+28+20+24+23+26+20+30+24</f>
        <v>217</v>
      </c>
      <c r="T38" s="639"/>
      <c r="U38" s="639"/>
      <c r="V38" s="639"/>
      <c r="W38" s="639"/>
      <c r="X38" s="640"/>
      <c r="Y38" s="638">
        <f>22+22+27+26+21+36+17+23+22</f>
        <v>216</v>
      </c>
      <c r="Z38" s="639"/>
      <c r="AA38" s="639"/>
      <c r="AB38" s="639"/>
      <c r="AC38" s="639"/>
      <c r="AD38" s="640"/>
      <c r="AE38" s="613">
        <f>S38-Y38</f>
        <v>1</v>
      </c>
      <c r="AF38" s="614"/>
      <c r="AG38" s="615"/>
      <c r="AH38" s="537"/>
      <c r="AI38" s="537"/>
      <c r="AJ38" s="888"/>
      <c r="AK38" s="888"/>
      <c r="AL38" s="888"/>
      <c r="AM38" s="888"/>
      <c r="AN38" s="18"/>
      <c r="AO38" s="14"/>
      <c r="AP38" s="14"/>
      <c r="AQ38" s="14"/>
      <c r="AR38" s="14"/>
      <c r="AS38" s="14"/>
      <c r="AT38" s="14"/>
      <c r="AU38" s="14"/>
      <c r="AY38" s="79"/>
      <c r="AZ38" s="79"/>
    </row>
    <row r="39" spans="1:72" s="3" customFormat="1" ht="15.6" customHeight="1" x14ac:dyDescent="0.15">
      <c r="A39" s="49"/>
      <c r="B39" s="632" t="s">
        <v>202</v>
      </c>
      <c r="C39" s="633"/>
      <c r="D39" s="624"/>
      <c r="E39" s="625"/>
      <c r="F39" s="625"/>
      <c r="G39" s="626"/>
      <c r="H39" s="627"/>
      <c r="I39" s="57" t="s">
        <v>22</v>
      </c>
      <c r="J39" s="58"/>
      <c r="K39" s="58"/>
      <c r="L39" s="622">
        <f>1+1+1</f>
        <v>3</v>
      </c>
      <c r="M39" s="623"/>
      <c r="N39" s="57" t="s">
        <v>62</v>
      </c>
      <c r="O39" s="58"/>
      <c r="P39" s="58"/>
      <c r="Q39" s="622">
        <f>1+2+0+0+3+3+1+1+1</f>
        <v>12</v>
      </c>
      <c r="R39" s="623"/>
      <c r="S39" s="411" t="s">
        <v>23</v>
      </c>
      <c r="T39" s="412"/>
      <c r="U39" s="412"/>
      <c r="V39" s="412"/>
      <c r="W39" s="622">
        <f>2+5+5+2+0+1+2+0+3</f>
        <v>20</v>
      </c>
      <c r="X39" s="623"/>
      <c r="Y39" s="57" t="s">
        <v>97</v>
      </c>
      <c r="Z39" s="412"/>
      <c r="AA39" s="412"/>
      <c r="AB39" s="412"/>
      <c r="AC39" s="622">
        <f>0+0+0+0+0+0+0+0+0</f>
        <v>0</v>
      </c>
      <c r="AD39" s="623"/>
      <c r="AE39" s="424"/>
      <c r="AF39" s="425"/>
      <c r="AG39" s="5"/>
      <c r="AH39" s="16"/>
      <c r="AI39" s="16"/>
      <c r="AJ39" s="643"/>
      <c r="AK39" s="643"/>
      <c r="AL39" s="643"/>
      <c r="AM39" s="643"/>
      <c r="AN39" s="14"/>
      <c r="AO39" s="14"/>
      <c r="AP39" s="14"/>
      <c r="AQ39" s="14"/>
      <c r="AR39" s="14"/>
      <c r="AS39" s="14"/>
      <c r="AT39" s="14"/>
      <c r="AU39" s="14"/>
      <c r="AY39" s="79"/>
      <c r="AZ39" s="79"/>
    </row>
    <row r="40" spans="1:72" s="3" customFormat="1" ht="15.6" customHeight="1" x14ac:dyDescent="0.15">
      <c r="A40" s="49"/>
      <c r="B40" s="634"/>
      <c r="C40" s="635"/>
      <c r="D40" s="620"/>
      <c r="E40" s="621"/>
      <c r="F40" s="621"/>
      <c r="G40" s="621"/>
      <c r="H40" s="59"/>
      <c r="I40" s="60" t="s">
        <v>0</v>
      </c>
      <c r="J40" s="61"/>
      <c r="K40" s="61"/>
      <c r="L40" s="616">
        <f>1+0+1</f>
        <v>2</v>
      </c>
      <c r="M40" s="617"/>
      <c r="N40" s="60" t="s">
        <v>3</v>
      </c>
      <c r="O40" s="61"/>
      <c r="P40" s="61"/>
      <c r="Q40" s="616">
        <f>0+0+0+0+0+0+3+1+0</f>
        <v>4</v>
      </c>
      <c r="R40" s="617"/>
      <c r="S40" s="409" t="s">
        <v>90</v>
      </c>
      <c r="T40" s="410"/>
      <c r="U40" s="410"/>
      <c r="V40" s="410"/>
      <c r="W40" s="616">
        <f>0+0+0+0+0+0+0+0+0</f>
        <v>0</v>
      </c>
      <c r="X40" s="617"/>
      <c r="Y40" s="60" t="s">
        <v>4</v>
      </c>
      <c r="Z40" s="61"/>
      <c r="AA40" s="61"/>
      <c r="AB40" s="61"/>
      <c r="AC40" s="616">
        <f>12+7+12+10+9+10+7+12+12</f>
        <v>91</v>
      </c>
      <c r="AD40" s="617"/>
      <c r="AE40" s="422"/>
      <c r="AF40" s="423"/>
      <c r="AG40" s="6"/>
      <c r="AH40" s="16"/>
      <c r="AI40" s="16"/>
      <c r="AJ40" s="16"/>
      <c r="AK40" s="16"/>
      <c r="AL40" s="16"/>
      <c r="AM40" s="16"/>
      <c r="AN40" s="14"/>
      <c r="AO40" s="14"/>
      <c r="AP40" s="14"/>
      <c r="AQ40" s="14"/>
      <c r="AR40" s="14"/>
      <c r="AS40" s="14"/>
      <c r="AT40" s="14"/>
      <c r="AU40" s="14"/>
      <c r="AY40" s="79"/>
      <c r="AZ40" s="79"/>
    </row>
    <row r="41" spans="1:72" s="3" customFormat="1" ht="15.6" customHeight="1" x14ac:dyDescent="0.15">
      <c r="A41" s="49"/>
      <c r="B41" s="634"/>
      <c r="C41" s="635"/>
      <c r="D41" s="620"/>
      <c r="E41" s="621"/>
      <c r="F41" s="621"/>
      <c r="G41" s="621"/>
      <c r="H41" s="59"/>
      <c r="I41" s="60" t="s">
        <v>61</v>
      </c>
      <c r="J41" s="61"/>
      <c r="K41" s="61"/>
      <c r="L41" s="616">
        <f>0+0+1</f>
        <v>1</v>
      </c>
      <c r="M41" s="617"/>
      <c r="N41" s="60" t="s">
        <v>0</v>
      </c>
      <c r="O41" s="61"/>
      <c r="P41" s="61"/>
      <c r="Q41" s="616">
        <f>0+0+0+0+0+0+0+0</f>
        <v>0</v>
      </c>
      <c r="R41" s="617"/>
      <c r="S41" s="409" t="s">
        <v>91</v>
      </c>
      <c r="T41" s="410"/>
      <c r="U41" s="410"/>
      <c r="V41" s="410"/>
      <c r="W41" s="616">
        <f>1+1+0+1+2+4+0+0+1</f>
        <v>10</v>
      </c>
      <c r="X41" s="617"/>
      <c r="Y41" s="60" t="s">
        <v>2</v>
      </c>
      <c r="Z41" s="62"/>
      <c r="AA41" s="62"/>
      <c r="AB41" s="62"/>
      <c r="AC41" s="616">
        <f>1+2+1+0+0+2+1+0+2</f>
        <v>9</v>
      </c>
      <c r="AD41" s="617"/>
      <c r="AE41" s="422"/>
      <c r="AF41" s="423"/>
      <c r="AG41" s="6"/>
      <c r="AH41" s="16"/>
      <c r="AI41" s="16"/>
      <c r="AJ41" s="643"/>
      <c r="AK41" s="643"/>
      <c r="AL41" s="643"/>
      <c r="AM41" s="643"/>
      <c r="AN41" s="14"/>
      <c r="AO41" s="14"/>
      <c r="AP41" s="14"/>
      <c r="AQ41" s="14"/>
      <c r="AR41" s="14"/>
      <c r="AS41" s="14"/>
      <c r="AT41" s="14"/>
      <c r="AU41" s="14"/>
      <c r="AY41" s="79"/>
      <c r="AZ41" s="79"/>
    </row>
    <row r="42" spans="1:72" s="3" customFormat="1" ht="15.6" customHeight="1" x14ac:dyDescent="0.15">
      <c r="A42" s="49"/>
      <c r="B42" s="634"/>
      <c r="C42" s="635"/>
      <c r="D42" s="620"/>
      <c r="E42" s="621"/>
      <c r="F42" s="621"/>
      <c r="G42" s="621"/>
      <c r="H42" s="59"/>
      <c r="I42" s="60" t="s">
        <v>60</v>
      </c>
      <c r="J42" s="61"/>
      <c r="K42" s="61"/>
      <c r="L42" s="616">
        <f>1+3+5+1</f>
        <v>10</v>
      </c>
      <c r="M42" s="617"/>
      <c r="N42" s="60" t="s">
        <v>4</v>
      </c>
      <c r="O42" s="61"/>
      <c r="P42" s="61"/>
      <c r="Q42" s="616">
        <f>0+0+0+0+0+0+0+0</f>
        <v>0</v>
      </c>
      <c r="R42" s="617"/>
      <c r="S42" s="409" t="s">
        <v>92</v>
      </c>
      <c r="T42" s="410"/>
      <c r="U42" s="410"/>
      <c r="V42" s="410"/>
      <c r="W42" s="616">
        <f>6+2+1+3+1+1+2+0+1</f>
        <v>17</v>
      </c>
      <c r="X42" s="617"/>
      <c r="Y42" s="60" t="s">
        <v>98</v>
      </c>
      <c r="Z42" s="61"/>
      <c r="AA42" s="61"/>
      <c r="AB42" s="61"/>
      <c r="AC42" s="616">
        <f>1+3+4+2+3+5+2+3+1</f>
        <v>24</v>
      </c>
      <c r="AD42" s="617"/>
      <c r="AE42" s="422"/>
      <c r="AF42" s="423"/>
      <c r="AG42" s="6"/>
      <c r="AH42" s="16"/>
      <c r="AI42" s="541"/>
      <c r="AJ42" s="16"/>
      <c r="AK42" s="16"/>
      <c r="AL42" s="16"/>
      <c r="AM42" s="16"/>
      <c r="AN42" s="14"/>
      <c r="AO42" s="14"/>
      <c r="AP42" s="14"/>
      <c r="AQ42" s="14"/>
      <c r="AR42" s="14"/>
      <c r="AS42" s="14"/>
      <c r="AT42" s="14"/>
      <c r="AU42" s="14"/>
      <c r="AY42" s="79"/>
      <c r="AZ42" s="79"/>
    </row>
    <row r="43" spans="1:72" s="3" customFormat="1" ht="15.6" customHeight="1" x14ac:dyDescent="0.15">
      <c r="A43" s="49"/>
      <c r="B43" s="634"/>
      <c r="C43" s="635"/>
      <c r="D43" s="620"/>
      <c r="E43" s="621"/>
      <c r="F43" s="621"/>
      <c r="G43" s="621"/>
      <c r="H43" s="59"/>
      <c r="I43" s="60"/>
      <c r="J43" s="61"/>
      <c r="K43" s="61"/>
      <c r="L43" s="61"/>
      <c r="M43" s="63"/>
      <c r="N43" s="60" t="s">
        <v>60</v>
      </c>
      <c r="O43" s="61"/>
      <c r="P43" s="61"/>
      <c r="Q43" s="616">
        <f>0+2+1+0+0+0+1+2+0</f>
        <v>6</v>
      </c>
      <c r="R43" s="617"/>
      <c r="S43" s="409" t="s">
        <v>94</v>
      </c>
      <c r="T43" s="410"/>
      <c r="U43" s="410"/>
      <c r="V43" s="410"/>
      <c r="W43" s="616">
        <f>0+0+0+0+1+1+0+0+0</f>
        <v>2</v>
      </c>
      <c r="X43" s="617"/>
      <c r="Y43" s="60" t="s">
        <v>99</v>
      </c>
      <c r="Z43" s="61"/>
      <c r="AA43" s="61"/>
      <c r="AB43" s="61"/>
      <c r="AC43" s="618">
        <f>0+0+0+0+0+2+1+0+0</f>
        <v>3</v>
      </c>
      <c r="AD43" s="619"/>
      <c r="AE43" s="422"/>
      <c r="AF43" s="423"/>
      <c r="AG43" s="6"/>
      <c r="AH43" s="16"/>
      <c r="AI43" s="541"/>
      <c r="AJ43" s="16"/>
      <c r="AK43" s="16"/>
      <c r="AL43" s="16"/>
      <c r="AM43" s="16"/>
      <c r="AN43" s="14"/>
      <c r="AO43" s="14"/>
      <c r="AP43" s="14"/>
      <c r="AQ43" s="14"/>
      <c r="AR43" s="14"/>
      <c r="AS43" s="14"/>
      <c r="AT43" s="14"/>
      <c r="AU43" s="14"/>
      <c r="AY43" s="79"/>
      <c r="AZ43" s="79"/>
    </row>
    <row r="44" spans="1:72" s="3" customFormat="1" ht="15.6" customHeight="1" x14ac:dyDescent="0.15">
      <c r="A44" s="49"/>
      <c r="B44" s="634"/>
      <c r="C44" s="635"/>
      <c r="D44" s="409"/>
      <c r="E44" s="410"/>
      <c r="F44" s="410"/>
      <c r="G44" s="410"/>
      <c r="H44" s="59"/>
      <c r="I44" s="60"/>
      <c r="J44" s="61"/>
      <c r="K44" s="61"/>
      <c r="L44" s="61"/>
      <c r="M44" s="63"/>
      <c r="N44" s="60"/>
      <c r="O44" s="61"/>
      <c r="P44" s="61"/>
      <c r="Q44" s="404"/>
      <c r="R44" s="405"/>
      <c r="S44" s="409" t="s">
        <v>93</v>
      </c>
      <c r="T44" s="410"/>
      <c r="U44" s="410"/>
      <c r="V44" s="410"/>
      <c r="W44" s="616">
        <f>0+0+0+0+0+0+0+1+0</f>
        <v>1</v>
      </c>
      <c r="X44" s="617"/>
      <c r="Y44" s="60" t="s">
        <v>100</v>
      </c>
      <c r="Z44" s="61"/>
      <c r="AA44" s="61"/>
      <c r="AB44" s="61"/>
      <c r="AC44" s="618">
        <f>0+1+0+3+0+0+1+0+0</f>
        <v>5</v>
      </c>
      <c r="AD44" s="619"/>
      <c r="AE44" s="422"/>
      <c r="AF44" s="423"/>
      <c r="AG44" s="6"/>
      <c r="AH44" s="16"/>
      <c r="AI44" s="541"/>
      <c r="AJ44" s="16"/>
      <c r="AK44" s="16"/>
      <c r="AL44" s="16"/>
      <c r="AM44" s="16"/>
      <c r="AN44" s="14"/>
      <c r="AO44" s="14"/>
      <c r="AP44" s="14"/>
      <c r="AQ44" s="14"/>
      <c r="AR44" s="14"/>
      <c r="AS44" s="14"/>
      <c r="AT44" s="14"/>
      <c r="AU44" s="14"/>
      <c r="AY44" s="79"/>
      <c r="AZ44" s="79"/>
    </row>
    <row r="45" spans="1:72" s="3" customFormat="1" ht="15.6" customHeight="1" x14ac:dyDescent="0.15">
      <c r="A45" s="49"/>
      <c r="B45" s="634"/>
      <c r="C45" s="635"/>
      <c r="D45" s="409"/>
      <c r="E45" s="410"/>
      <c r="F45" s="410"/>
      <c r="G45" s="410"/>
      <c r="H45" s="59"/>
      <c r="I45" s="60"/>
      <c r="J45" s="61"/>
      <c r="K45" s="61"/>
      <c r="L45" s="61"/>
      <c r="M45" s="63"/>
      <c r="N45" s="60"/>
      <c r="O45" s="61"/>
      <c r="P45" s="61"/>
      <c r="Q45" s="404"/>
      <c r="R45" s="405"/>
      <c r="S45" s="409" t="s">
        <v>95</v>
      </c>
      <c r="T45" s="410"/>
      <c r="U45" s="410"/>
      <c r="V45" s="410"/>
      <c r="W45" s="616">
        <f>0+3+4+3+0+0+0+1</f>
        <v>11</v>
      </c>
      <c r="X45" s="617"/>
      <c r="Y45" s="60" t="s">
        <v>101</v>
      </c>
      <c r="Z45" s="61"/>
      <c r="AA45" s="61"/>
      <c r="AB45" s="61"/>
      <c r="AC45" s="618">
        <f>0+0+0+0+1+0+0+0+0</f>
        <v>1</v>
      </c>
      <c r="AD45" s="619"/>
      <c r="AE45" s="422"/>
      <c r="AF45" s="423"/>
      <c r="AG45" s="6"/>
      <c r="AH45" s="16"/>
      <c r="AI45" s="541"/>
      <c r="AJ45" s="16"/>
      <c r="AK45" s="16"/>
      <c r="AL45" s="16"/>
      <c r="AM45" s="16"/>
      <c r="AN45" s="14"/>
      <c r="AO45" s="14"/>
      <c r="AP45" s="14"/>
      <c r="AQ45" s="14"/>
      <c r="AR45" s="14"/>
      <c r="AS45" s="14"/>
      <c r="AT45" s="14"/>
      <c r="AU45" s="14"/>
      <c r="AY45" s="79"/>
      <c r="AZ45" s="79"/>
    </row>
    <row r="46" spans="1:72" s="3" customFormat="1" ht="15.6" customHeight="1" x14ac:dyDescent="0.15">
      <c r="A46" s="49"/>
      <c r="B46" s="634"/>
      <c r="C46" s="635"/>
      <c r="D46" s="409"/>
      <c r="E46" s="410"/>
      <c r="F46" s="410"/>
      <c r="G46" s="410"/>
      <c r="H46" s="59"/>
      <c r="I46" s="60"/>
      <c r="J46" s="61"/>
      <c r="K46" s="61"/>
      <c r="L46" s="61"/>
      <c r="M46" s="63"/>
      <c r="N46" s="60"/>
      <c r="O46" s="61"/>
      <c r="P46" s="61"/>
      <c r="Q46" s="404"/>
      <c r="R46" s="405"/>
      <c r="S46" s="409" t="s">
        <v>96</v>
      </c>
      <c r="T46" s="410"/>
      <c r="U46" s="410"/>
      <c r="V46" s="410"/>
      <c r="W46" s="616">
        <f>0+0+1+0+0+0+0+0+0</f>
        <v>1</v>
      </c>
      <c r="X46" s="617"/>
      <c r="Y46" s="60" t="s">
        <v>103</v>
      </c>
      <c r="Z46" s="61"/>
      <c r="AA46" s="61"/>
      <c r="AB46" s="61"/>
      <c r="AC46" s="618">
        <f>1+5+1+1+3+2+0+2+0</f>
        <v>15</v>
      </c>
      <c r="AD46" s="619"/>
      <c r="AE46" s="422"/>
      <c r="AF46" s="423"/>
      <c r="AG46" s="6"/>
      <c r="AH46" s="16"/>
      <c r="AI46" s="541"/>
      <c r="AJ46" s="16"/>
      <c r="AK46" s="16"/>
      <c r="AL46" s="16"/>
      <c r="AM46" s="16"/>
      <c r="AN46" s="14"/>
      <c r="AO46" s="14"/>
      <c r="AP46" s="14"/>
      <c r="AQ46" s="14"/>
      <c r="AR46" s="14"/>
      <c r="AS46" s="14"/>
      <c r="AT46" s="14"/>
      <c r="AU46" s="14"/>
      <c r="AY46" s="79"/>
      <c r="AZ46" s="79"/>
    </row>
    <row r="47" spans="1:72" s="3" customFormat="1" ht="15.6" customHeight="1" x14ac:dyDescent="0.15">
      <c r="A47" s="49"/>
      <c r="B47" s="634"/>
      <c r="C47" s="635"/>
      <c r="D47" s="409"/>
      <c r="E47" s="410"/>
      <c r="F47" s="410"/>
      <c r="G47" s="410"/>
      <c r="H47" s="59"/>
      <c r="I47" s="60"/>
      <c r="J47" s="61"/>
      <c r="K47" s="61"/>
      <c r="L47" s="61"/>
      <c r="M47" s="63"/>
      <c r="N47" s="60"/>
      <c r="O47" s="61"/>
      <c r="P47" s="61"/>
      <c r="Q47" s="404"/>
      <c r="R47" s="405"/>
      <c r="S47" s="409" t="s">
        <v>80</v>
      </c>
      <c r="T47" s="410"/>
      <c r="U47" s="410"/>
      <c r="V47" s="410"/>
      <c r="W47" s="616">
        <f>12+14+8+14+16+16+14+26+16</f>
        <v>136</v>
      </c>
      <c r="X47" s="617"/>
      <c r="Y47" s="60" t="s">
        <v>104</v>
      </c>
      <c r="Z47" s="61"/>
      <c r="AA47" s="61"/>
      <c r="AB47" s="61"/>
      <c r="AC47" s="618">
        <f>0+0+0+1+0+1+0+0+0</f>
        <v>2</v>
      </c>
      <c r="AD47" s="619"/>
      <c r="AE47" s="422"/>
      <c r="AF47" s="423"/>
      <c r="AG47" s="6"/>
      <c r="AH47" s="16"/>
      <c r="AI47" s="16"/>
      <c r="AJ47" s="16"/>
      <c r="AK47" s="16"/>
      <c r="AL47" s="16"/>
      <c r="AM47" s="16"/>
      <c r="AN47" s="14"/>
      <c r="AO47" s="14"/>
      <c r="AP47" s="14"/>
      <c r="AQ47" s="14"/>
      <c r="AR47" s="14"/>
      <c r="AS47" s="14"/>
      <c r="AT47" s="14"/>
      <c r="AU47" s="14"/>
      <c r="AY47" s="79"/>
      <c r="AZ47" s="79"/>
    </row>
    <row r="48" spans="1:72" s="3" customFormat="1" ht="15.6" customHeight="1" x14ac:dyDescent="0.15">
      <c r="A48" s="49"/>
      <c r="B48" s="634"/>
      <c r="C48" s="635"/>
      <c r="D48" s="409"/>
      <c r="E48" s="410"/>
      <c r="F48" s="410"/>
      <c r="G48" s="410"/>
      <c r="H48" s="59"/>
      <c r="I48" s="60"/>
      <c r="J48" s="61"/>
      <c r="K48" s="61"/>
      <c r="L48" s="61"/>
      <c r="M48" s="63"/>
      <c r="N48" s="60"/>
      <c r="O48" s="61"/>
      <c r="P48" s="61"/>
      <c r="Q48" s="404"/>
      <c r="R48" s="405"/>
      <c r="S48" s="409" t="s">
        <v>102</v>
      </c>
      <c r="T48" s="410"/>
      <c r="U48" s="410"/>
      <c r="V48" s="410"/>
      <c r="W48" s="616">
        <f>0+0+0+0+1+1+0+1+0</f>
        <v>3</v>
      </c>
      <c r="X48" s="617"/>
      <c r="Y48" s="60" t="s">
        <v>105</v>
      </c>
      <c r="Z48" s="61"/>
      <c r="AA48" s="61"/>
      <c r="AB48" s="61"/>
      <c r="AC48" s="618">
        <f>2+4+7+1+4+10+4+4+3</f>
        <v>39</v>
      </c>
      <c r="AD48" s="619"/>
      <c r="AE48" s="422"/>
      <c r="AF48" s="423"/>
      <c r="AG48" s="6"/>
      <c r="AH48" s="16"/>
      <c r="AI48" s="16"/>
      <c r="AJ48" s="16"/>
      <c r="AK48" s="16"/>
      <c r="AL48" s="16"/>
      <c r="AM48" s="16"/>
      <c r="AN48" s="14"/>
      <c r="AO48" s="14"/>
      <c r="AP48" s="14"/>
      <c r="AQ48" s="14"/>
      <c r="AR48" s="14"/>
      <c r="AS48" s="14"/>
      <c r="AT48" s="14"/>
      <c r="AU48" s="14"/>
      <c r="AY48" s="79"/>
      <c r="AZ48" s="79"/>
    </row>
    <row r="49" spans="1:52" s="3" customFormat="1" ht="15.6" customHeight="1" x14ac:dyDescent="0.15">
      <c r="A49" s="49"/>
      <c r="B49" s="636"/>
      <c r="C49" s="637"/>
      <c r="D49" s="628"/>
      <c r="E49" s="629"/>
      <c r="F49" s="629"/>
      <c r="G49" s="629"/>
      <c r="H49" s="64"/>
      <c r="I49" s="65"/>
      <c r="J49" s="66"/>
      <c r="K49" s="66"/>
      <c r="L49" s="66"/>
      <c r="M49" s="67"/>
      <c r="N49" s="65"/>
      <c r="O49" s="66"/>
      <c r="P49" s="66"/>
      <c r="Q49" s="66"/>
      <c r="R49" s="67"/>
      <c r="S49" s="406" t="s">
        <v>24</v>
      </c>
      <c r="T49" s="407"/>
      <c r="U49" s="407"/>
      <c r="V49" s="407"/>
      <c r="W49" s="630">
        <f>1+3+1+1+2+2+2+2+2</f>
        <v>16</v>
      </c>
      <c r="X49" s="631"/>
      <c r="Y49" s="65" t="s">
        <v>24</v>
      </c>
      <c r="Z49" s="68"/>
      <c r="AA49" s="66"/>
      <c r="AB49" s="66"/>
      <c r="AC49" s="630">
        <f>5+0+2+8+1+4+1+2+4</f>
        <v>27</v>
      </c>
      <c r="AD49" s="631"/>
      <c r="AE49" s="420"/>
      <c r="AF49" s="421"/>
      <c r="AG49" s="8"/>
      <c r="AH49" s="16"/>
      <c r="AI49" s="16"/>
      <c r="AJ49" s="16"/>
      <c r="AK49" s="16"/>
      <c r="AL49" s="16"/>
      <c r="AM49" s="16"/>
      <c r="AN49" s="14"/>
      <c r="AO49" s="14"/>
      <c r="AP49" s="14"/>
      <c r="AQ49" s="14"/>
      <c r="AR49" s="14"/>
      <c r="AS49" s="14"/>
      <c r="AT49" s="14"/>
      <c r="AU49" s="14"/>
      <c r="AY49" s="79"/>
      <c r="AZ49" s="79"/>
    </row>
    <row r="50" spans="1:52" s="3" customFormat="1" ht="15.6" customHeight="1" x14ac:dyDescent="0.15">
      <c r="A50" s="49"/>
      <c r="B50" s="430"/>
      <c r="C50" s="430"/>
      <c r="D50" s="423"/>
      <c r="E50" s="423"/>
      <c r="F50" s="423"/>
      <c r="G50" s="423"/>
      <c r="H50" s="423"/>
      <c r="I50" s="423"/>
      <c r="J50" s="423"/>
      <c r="K50" s="423"/>
      <c r="L50" s="423"/>
      <c r="M50" s="423"/>
      <c r="N50" s="423"/>
      <c r="O50" s="423"/>
      <c r="P50" s="433"/>
      <c r="Q50" s="433"/>
      <c r="R50" s="430"/>
      <c r="S50" s="423"/>
      <c r="T50" s="423"/>
      <c r="U50" s="423"/>
      <c r="V50" s="423"/>
      <c r="W50" s="431"/>
      <c r="X50" s="431"/>
      <c r="Y50" s="433"/>
      <c r="Z50" s="37"/>
      <c r="AA50" s="433"/>
      <c r="AB50" s="433"/>
      <c r="AC50" s="431"/>
      <c r="AD50" s="431"/>
      <c r="AE50" s="423"/>
      <c r="AF50" s="423"/>
      <c r="AG50" s="423"/>
      <c r="AH50" s="16"/>
      <c r="AI50" s="16"/>
      <c r="AJ50" s="16"/>
      <c r="AK50" s="16"/>
      <c r="AL50" s="16"/>
      <c r="AM50" s="16"/>
      <c r="AN50" s="14"/>
      <c r="AO50" s="14"/>
      <c r="AP50" s="14"/>
      <c r="AQ50" s="14"/>
      <c r="AR50" s="14"/>
      <c r="AS50" s="14"/>
      <c r="AT50" s="14"/>
      <c r="AU50" s="14"/>
      <c r="AY50" s="79"/>
      <c r="AZ50" s="79"/>
    </row>
    <row r="51" spans="1:52" s="3" customFormat="1" ht="15.6" customHeight="1" x14ac:dyDescent="0.15">
      <c r="A51" s="49"/>
      <c r="B51" s="430"/>
      <c r="C51" s="430"/>
      <c r="D51" s="423"/>
      <c r="E51" s="423"/>
      <c r="F51" s="423"/>
      <c r="G51" s="423"/>
      <c r="H51" s="423"/>
      <c r="I51" s="423"/>
      <c r="J51" s="423"/>
      <c r="K51" s="423"/>
      <c r="L51" s="423"/>
      <c r="M51" s="423"/>
      <c r="N51" s="423"/>
      <c r="O51" s="423"/>
      <c r="P51" s="433"/>
      <c r="Q51" s="433"/>
      <c r="R51" s="430"/>
      <c r="S51" s="423"/>
      <c r="T51" s="423"/>
      <c r="U51" s="423"/>
      <c r="V51" s="423"/>
      <c r="W51" s="431"/>
      <c r="X51" s="431"/>
      <c r="Y51" s="433"/>
      <c r="Z51" s="37"/>
      <c r="AA51" s="433"/>
      <c r="AB51" s="433"/>
      <c r="AC51" s="431"/>
      <c r="AD51" s="431"/>
      <c r="AE51" s="423"/>
      <c r="AF51" s="423"/>
      <c r="AG51" s="423"/>
      <c r="AH51" s="16"/>
      <c r="AI51" s="16"/>
      <c r="AJ51" s="16"/>
      <c r="AK51" s="16"/>
      <c r="AL51" s="16"/>
      <c r="AM51" s="16"/>
      <c r="AN51" s="14"/>
      <c r="AO51" s="14"/>
      <c r="AP51" s="14"/>
      <c r="AQ51" s="14"/>
      <c r="AR51" s="14"/>
      <c r="AS51" s="14"/>
      <c r="AT51" s="14"/>
      <c r="AU51" s="14"/>
      <c r="AY51" s="79"/>
      <c r="AZ51" s="79"/>
    </row>
    <row r="52" spans="1:52" s="3" customFormat="1" ht="15.6" customHeight="1" x14ac:dyDescent="0.15">
      <c r="A52" s="49"/>
      <c r="B52" s="430"/>
      <c r="C52" s="430"/>
      <c r="D52" s="423"/>
      <c r="E52" s="423"/>
      <c r="F52" s="423"/>
      <c r="G52" s="423"/>
      <c r="H52" s="423"/>
      <c r="I52" s="423"/>
      <c r="J52" s="423"/>
      <c r="K52" s="423"/>
      <c r="L52" s="423"/>
      <c r="M52" s="423"/>
      <c r="N52" s="423"/>
      <c r="O52" s="423"/>
      <c r="P52" s="433"/>
      <c r="Q52" s="433"/>
      <c r="R52" s="430"/>
      <c r="S52" s="423"/>
      <c r="T52" s="423"/>
      <c r="U52" s="423"/>
      <c r="V52" s="423"/>
      <c r="W52" s="431"/>
      <c r="X52" s="431"/>
      <c r="Y52" s="433"/>
      <c r="Z52" s="37"/>
      <c r="AA52" s="433"/>
      <c r="AB52" s="433"/>
      <c r="AC52" s="431"/>
      <c r="AD52" s="431"/>
      <c r="AE52" s="423"/>
      <c r="AF52" s="423"/>
      <c r="AG52" s="423"/>
      <c r="AH52" s="16"/>
      <c r="AI52" s="16"/>
      <c r="AJ52" s="16"/>
      <c r="AK52" s="16"/>
      <c r="AL52" s="16"/>
      <c r="AM52" s="16"/>
      <c r="AN52" s="14"/>
      <c r="AO52" s="14"/>
      <c r="AP52" s="14"/>
      <c r="AQ52" s="14"/>
      <c r="AR52" s="14"/>
      <c r="AS52" s="14"/>
      <c r="AT52" s="14"/>
      <c r="AU52" s="14"/>
      <c r="AY52" s="79"/>
      <c r="AZ52" s="79"/>
    </row>
    <row r="53" spans="1:52" s="3" customFormat="1" ht="15.6" customHeight="1" x14ac:dyDescent="0.15">
      <c r="A53" s="49"/>
      <c r="B53" s="430"/>
      <c r="C53" s="430"/>
      <c r="D53" s="423"/>
      <c r="E53" s="423"/>
      <c r="F53" s="423"/>
      <c r="G53" s="423"/>
      <c r="H53" s="423"/>
      <c r="I53" s="423"/>
      <c r="J53" s="423"/>
      <c r="K53" s="423"/>
      <c r="L53" s="423"/>
      <c r="M53" s="423"/>
      <c r="N53" s="423"/>
      <c r="O53" s="423"/>
      <c r="P53" s="433"/>
      <c r="Q53" s="433"/>
      <c r="R53" s="430"/>
      <c r="S53" s="423"/>
      <c r="T53" s="423"/>
      <c r="U53" s="423"/>
      <c r="V53" s="423"/>
      <c r="W53" s="431"/>
      <c r="X53" s="431"/>
      <c r="Y53" s="433"/>
      <c r="Z53" s="37"/>
      <c r="AA53" s="433"/>
      <c r="AB53" s="433"/>
      <c r="AC53" s="431"/>
      <c r="AD53" s="431"/>
      <c r="AE53" s="423"/>
      <c r="AF53" s="423"/>
      <c r="AG53" s="423"/>
      <c r="AH53" s="16"/>
      <c r="AI53" s="16"/>
      <c r="AJ53" s="16"/>
      <c r="AK53" s="16"/>
      <c r="AL53" s="16"/>
      <c r="AM53" s="16"/>
      <c r="AN53" s="14"/>
      <c r="AO53" s="14"/>
      <c r="AP53" s="14"/>
      <c r="AQ53" s="14"/>
      <c r="AR53" s="14"/>
      <c r="AS53" s="14"/>
      <c r="AT53" s="14"/>
      <c r="AU53" s="14"/>
      <c r="AY53" s="79"/>
      <c r="AZ53" s="79"/>
    </row>
    <row r="54" spans="1:52" s="3" customFormat="1" ht="15.6" customHeight="1" x14ac:dyDescent="0.15">
      <c r="A54" s="49"/>
      <c r="B54" s="430"/>
      <c r="C54" s="430"/>
      <c r="D54" s="423"/>
      <c r="E54" s="423"/>
      <c r="F54" s="423"/>
      <c r="G54" s="423"/>
      <c r="H54" s="423"/>
      <c r="I54" s="423"/>
      <c r="J54" s="423"/>
      <c r="K54" s="423"/>
      <c r="L54" s="423"/>
      <c r="M54" s="423"/>
      <c r="N54" s="423"/>
      <c r="O54" s="423"/>
      <c r="P54" s="433"/>
      <c r="Q54" s="433"/>
      <c r="R54" s="430"/>
      <c r="S54" s="423"/>
      <c r="T54" s="423"/>
      <c r="U54" s="423"/>
      <c r="V54" s="423"/>
      <c r="W54" s="431"/>
      <c r="X54" s="431"/>
      <c r="Y54" s="433"/>
      <c r="Z54" s="37"/>
      <c r="AA54" s="433"/>
      <c r="AB54" s="433"/>
      <c r="AC54" s="431"/>
      <c r="AD54" s="431"/>
      <c r="AE54" s="423"/>
      <c r="AF54" s="423"/>
      <c r="AG54" s="423"/>
      <c r="AH54" s="16"/>
      <c r="AI54" s="16"/>
      <c r="AJ54" s="16"/>
      <c r="AK54" s="16"/>
      <c r="AL54" s="16"/>
      <c r="AM54" s="16"/>
      <c r="AN54" s="14"/>
      <c r="AO54" s="14"/>
      <c r="AP54" s="14"/>
      <c r="AQ54" s="14"/>
      <c r="AR54" s="14"/>
      <c r="AS54" s="14"/>
      <c r="AT54" s="14"/>
      <c r="AU54" s="14"/>
      <c r="AY54" s="79"/>
      <c r="AZ54" s="79"/>
    </row>
    <row r="55" spans="1:52" s="3" customFormat="1" ht="15.6" customHeight="1" x14ac:dyDescent="0.15">
      <c r="A55" s="50" t="s">
        <v>125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4"/>
      <c r="AO55" s="14"/>
      <c r="AP55" s="14"/>
      <c r="AQ55" s="14"/>
      <c r="AR55" s="14"/>
      <c r="AS55" s="14"/>
      <c r="AT55" s="14"/>
      <c r="AU55" s="14"/>
      <c r="AY55" s="79"/>
      <c r="AZ55" s="79"/>
    </row>
    <row r="56" spans="1:52" s="3" customFormat="1" ht="15.6" customHeight="1" x14ac:dyDescent="0.15">
      <c r="A56" s="54"/>
      <c r="B56" s="644" t="s">
        <v>25</v>
      </c>
      <c r="C56" s="645"/>
      <c r="D56" s="645"/>
      <c r="E56" s="646"/>
      <c r="F56" s="647" t="s">
        <v>26</v>
      </c>
      <c r="G56" s="647"/>
      <c r="H56" s="647"/>
      <c r="I56" s="647"/>
      <c r="J56" s="647" t="s">
        <v>83</v>
      </c>
      <c r="K56" s="647"/>
      <c r="L56" s="647"/>
      <c r="M56" s="647"/>
      <c r="N56" s="647" t="s">
        <v>27</v>
      </c>
      <c r="O56" s="647"/>
      <c r="P56" s="647"/>
      <c r="Q56" s="647"/>
      <c r="R56" s="647" t="s">
        <v>84</v>
      </c>
      <c r="S56" s="647"/>
      <c r="T56" s="647"/>
      <c r="U56" s="647"/>
      <c r="V56" s="647" t="s">
        <v>85</v>
      </c>
      <c r="W56" s="647"/>
      <c r="X56" s="647"/>
      <c r="Y56" s="647"/>
      <c r="Z56" s="647" t="s">
        <v>28</v>
      </c>
      <c r="AA56" s="647"/>
      <c r="AB56" s="647"/>
      <c r="AC56" s="647"/>
      <c r="AD56" s="644" t="s">
        <v>29</v>
      </c>
      <c r="AE56" s="645"/>
      <c r="AF56" s="645"/>
      <c r="AG56" s="646"/>
      <c r="AH56" s="16"/>
      <c r="AI56" s="16"/>
      <c r="AJ56" s="16"/>
      <c r="AK56" s="16"/>
      <c r="AL56" s="16"/>
      <c r="AM56" s="16"/>
      <c r="AN56" s="14"/>
      <c r="AO56" s="14"/>
      <c r="AP56" s="14"/>
      <c r="AQ56" s="14"/>
      <c r="AR56" s="14"/>
      <c r="AS56" s="14"/>
      <c r="AT56" s="14"/>
      <c r="AU56" s="14"/>
      <c r="AY56" s="79"/>
      <c r="AZ56" s="79"/>
    </row>
    <row r="57" spans="1:52" s="14" customFormat="1" ht="15.6" customHeight="1" x14ac:dyDescent="0.15">
      <c r="B57" s="655" t="s">
        <v>214</v>
      </c>
      <c r="C57" s="656"/>
      <c r="D57" s="656"/>
      <c r="E57" s="657"/>
      <c r="F57" s="650" t="s">
        <v>9</v>
      </c>
      <c r="G57" s="651"/>
      <c r="H57" s="651"/>
      <c r="I57" s="652"/>
      <c r="J57" s="638">
        <f>1279+4</f>
        <v>1283</v>
      </c>
      <c r="K57" s="639"/>
      <c r="L57" s="639"/>
      <c r="M57" s="640"/>
      <c r="N57" s="638">
        <v>110</v>
      </c>
      <c r="O57" s="639"/>
      <c r="P57" s="639"/>
      <c r="Q57" s="640"/>
      <c r="R57" s="638">
        <v>372</v>
      </c>
      <c r="S57" s="639"/>
      <c r="T57" s="639"/>
      <c r="U57" s="640"/>
      <c r="V57" s="638">
        <v>294</v>
      </c>
      <c r="W57" s="639"/>
      <c r="X57" s="639"/>
      <c r="Y57" s="640"/>
      <c r="Z57" s="638">
        <v>506</v>
      </c>
      <c r="AA57" s="639"/>
      <c r="AB57" s="639"/>
      <c r="AC57" s="640"/>
      <c r="AD57" s="638">
        <f>SUM(J57:AC57)</f>
        <v>2565</v>
      </c>
      <c r="AE57" s="639"/>
      <c r="AF57" s="639"/>
      <c r="AG57" s="640"/>
      <c r="AQ57" s="85"/>
      <c r="AR57" s="85"/>
      <c r="AY57" s="80"/>
      <c r="AZ57" s="80"/>
    </row>
    <row r="58" spans="1:52" s="14" customFormat="1" ht="15.6" customHeight="1" x14ac:dyDescent="0.15">
      <c r="B58" s="658"/>
      <c r="C58" s="659"/>
      <c r="D58" s="659"/>
      <c r="E58" s="660"/>
      <c r="F58" s="664" t="s">
        <v>30</v>
      </c>
      <c r="G58" s="665"/>
      <c r="H58" s="665"/>
      <c r="I58" s="666"/>
      <c r="J58" s="661">
        <f>J57/$AD$57</f>
        <v>0.50019493177387919</v>
      </c>
      <c r="K58" s="662"/>
      <c r="L58" s="662"/>
      <c r="M58" s="663"/>
      <c r="N58" s="661">
        <f>N57/$AD$57</f>
        <v>4.2884990253411304E-2</v>
      </c>
      <c r="O58" s="662"/>
      <c r="P58" s="662"/>
      <c r="Q58" s="663"/>
      <c r="R58" s="661">
        <f>R57/$AD$57</f>
        <v>0.14502923976608187</v>
      </c>
      <c r="S58" s="662"/>
      <c r="T58" s="662"/>
      <c r="U58" s="663"/>
      <c r="V58" s="661">
        <f>V57/$AD$57</f>
        <v>0.11461988304093568</v>
      </c>
      <c r="W58" s="662"/>
      <c r="X58" s="662"/>
      <c r="Y58" s="663"/>
      <c r="Z58" s="661">
        <f>Z57/$AD$57</f>
        <v>0.19727095516569201</v>
      </c>
      <c r="AA58" s="662"/>
      <c r="AB58" s="662"/>
      <c r="AC58" s="663"/>
      <c r="AD58" s="661">
        <v>1</v>
      </c>
      <c r="AE58" s="662"/>
      <c r="AF58" s="662"/>
      <c r="AG58" s="663"/>
      <c r="AJ58" s="84"/>
      <c r="AQ58" s="653"/>
      <c r="AR58" s="654"/>
      <c r="AY58" s="80"/>
      <c r="AZ58" s="80"/>
    </row>
    <row r="59" spans="1:52" s="14" customFormat="1" ht="15.6" customHeight="1" x14ac:dyDescent="0.15">
      <c r="B59" s="655" t="s">
        <v>162</v>
      </c>
      <c r="C59" s="656"/>
      <c r="D59" s="656"/>
      <c r="E59" s="657"/>
      <c r="F59" s="650" t="s">
        <v>9</v>
      </c>
      <c r="G59" s="651"/>
      <c r="H59" s="651"/>
      <c r="I59" s="652"/>
      <c r="J59" s="638">
        <v>1250</v>
      </c>
      <c r="K59" s="639"/>
      <c r="L59" s="639"/>
      <c r="M59" s="640"/>
      <c r="N59" s="638">
        <v>132</v>
      </c>
      <c r="O59" s="639"/>
      <c r="P59" s="639"/>
      <c r="Q59" s="640"/>
      <c r="R59" s="638">
        <v>369</v>
      </c>
      <c r="S59" s="639"/>
      <c r="T59" s="639"/>
      <c r="U59" s="640"/>
      <c r="V59" s="638">
        <v>287</v>
      </c>
      <c r="W59" s="639"/>
      <c r="X59" s="639"/>
      <c r="Y59" s="640"/>
      <c r="Z59" s="638">
        <v>509</v>
      </c>
      <c r="AA59" s="639"/>
      <c r="AB59" s="639"/>
      <c r="AC59" s="640"/>
      <c r="AD59" s="638">
        <v>2547</v>
      </c>
      <c r="AE59" s="639"/>
      <c r="AF59" s="639"/>
      <c r="AG59" s="640"/>
      <c r="AJ59" s="84"/>
      <c r="AQ59" s="654"/>
      <c r="AR59" s="654"/>
      <c r="AY59" s="80"/>
      <c r="AZ59" s="80"/>
    </row>
    <row r="60" spans="1:52" s="14" customFormat="1" ht="15.6" customHeight="1" x14ac:dyDescent="0.15">
      <c r="B60" s="658"/>
      <c r="C60" s="659"/>
      <c r="D60" s="659"/>
      <c r="E60" s="660"/>
      <c r="F60" s="664" t="s">
        <v>30</v>
      </c>
      <c r="G60" s="665"/>
      <c r="H60" s="665"/>
      <c r="I60" s="666"/>
      <c r="J60" s="661">
        <v>0.49099999999999999</v>
      </c>
      <c r="K60" s="662"/>
      <c r="L60" s="662"/>
      <c r="M60" s="663"/>
      <c r="N60" s="661">
        <f>N59/AD59</f>
        <v>5.1825677267373381E-2</v>
      </c>
      <c r="O60" s="662"/>
      <c r="P60" s="662"/>
      <c r="Q60" s="663"/>
      <c r="R60" s="661">
        <v>0.14499999999999999</v>
      </c>
      <c r="S60" s="662"/>
      <c r="T60" s="662"/>
      <c r="U60" s="663"/>
      <c r="V60" s="661">
        <f>V59/AD59</f>
        <v>0.1126815861798194</v>
      </c>
      <c r="W60" s="662"/>
      <c r="X60" s="662"/>
      <c r="Y60" s="663"/>
      <c r="Z60" s="661">
        <v>0.19900000000000001</v>
      </c>
      <c r="AA60" s="662"/>
      <c r="AB60" s="662"/>
      <c r="AC60" s="663"/>
      <c r="AD60" s="661">
        <v>1</v>
      </c>
      <c r="AE60" s="662"/>
      <c r="AF60" s="662"/>
      <c r="AG60" s="663"/>
      <c r="AJ60" s="84"/>
      <c r="AQ60" s="654"/>
      <c r="AR60" s="654"/>
      <c r="AY60" s="80"/>
      <c r="AZ60" s="80"/>
    </row>
    <row r="61" spans="1:52" s="14" customFormat="1" ht="15.6" customHeight="1" x14ac:dyDescent="0.15">
      <c r="A61" s="16"/>
      <c r="B61" s="667" t="s">
        <v>31</v>
      </c>
      <c r="C61" s="668"/>
      <c r="D61" s="668"/>
      <c r="E61" s="669"/>
      <c r="F61" s="673" t="s">
        <v>9</v>
      </c>
      <c r="G61" s="673"/>
      <c r="H61" s="673"/>
      <c r="I61" s="673"/>
      <c r="J61" s="674">
        <f>J57-J59</f>
        <v>33</v>
      </c>
      <c r="K61" s="674"/>
      <c r="L61" s="674"/>
      <c r="M61" s="674"/>
      <c r="N61" s="674">
        <f>N57-N59</f>
        <v>-22</v>
      </c>
      <c r="O61" s="674"/>
      <c r="P61" s="674"/>
      <c r="Q61" s="674"/>
      <c r="R61" s="674">
        <f>R57-R59</f>
        <v>3</v>
      </c>
      <c r="S61" s="674"/>
      <c r="T61" s="674"/>
      <c r="U61" s="674"/>
      <c r="V61" s="674">
        <f>V57-V59</f>
        <v>7</v>
      </c>
      <c r="W61" s="674"/>
      <c r="X61" s="674"/>
      <c r="Y61" s="674"/>
      <c r="Z61" s="674">
        <f>Z57-Z59</f>
        <v>-3</v>
      </c>
      <c r="AA61" s="674"/>
      <c r="AB61" s="674"/>
      <c r="AC61" s="674"/>
      <c r="AD61" s="675">
        <f>SUM(J61:AC61)</f>
        <v>18</v>
      </c>
      <c r="AE61" s="676"/>
      <c r="AF61" s="676"/>
      <c r="AG61" s="677"/>
      <c r="AH61" s="16"/>
      <c r="AI61" s="16"/>
      <c r="AJ61" s="16"/>
      <c r="AK61" s="16"/>
      <c r="AL61" s="16"/>
      <c r="AM61" s="16"/>
      <c r="AQ61" s="654"/>
      <c r="AR61" s="654"/>
      <c r="AY61" s="80"/>
      <c r="AZ61" s="80"/>
    </row>
    <row r="62" spans="1:52" s="14" customFormat="1" ht="15.6" customHeight="1" x14ac:dyDescent="0.15">
      <c r="A62" s="16"/>
      <c r="B62" s="670"/>
      <c r="C62" s="671"/>
      <c r="D62" s="671"/>
      <c r="E62" s="672"/>
      <c r="F62" s="692" t="s">
        <v>32</v>
      </c>
      <c r="G62" s="692"/>
      <c r="H62" s="692"/>
      <c r="I62" s="692"/>
      <c r="J62" s="693">
        <f>J57/J59</f>
        <v>1.0264</v>
      </c>
      <c r="K62" s="693"/>
      <c r="L62" s="693"/>
      <c r="M62" s="693"/>
      <c r="N62" s="693">
        <f>N57/N59</f>
        <v>0.83333333333333337</v>
      </c>
      <c r="O62" s="693"/>
      <c r="P62" s="693"/>
      <c r="Q62" s="693"/>
      <c r="R62" s="693">
        <f>R57/R59</f>
        <v>1.0081300813008129</v>
      </c>
      <c r="S62" s="693"/>
      <c r="T62" s="693"/>
      <c r="U62" s="693"/>
      <c r="V62" s="693">
        <f>V57/V59</f>
        <v>1.024390243902439</v>
      </c>
      <c r="W62" s="693"/>
      <c r="X62" s="693"/>
      <c r="Y62" s="693"/>
      <c r="Z62" s="693">
        <f>Z57/Z59</f>
        <v>0.9941060903732809</v>
      </c>
      <c r="AA62" s="693"/>
      <c r="AB62" s="693"/>
      <c r="AC62" s="693"/>
      <c r="AD62" s="694">
        <f>AD57/AD59</f>
        <v>1.0070671378091873</v>
      </c>
      <c r="AE62" s="695"/>
      <c r="AF62" s="695"/>
      <c r="AG62" s="696"/>
      <c r="AH62" s="16"/>
      <c r="AI62" s="16"/>
      <c r="AJ62" s="16"/>
      <c r="AK62" s="16"/>
      <c r="AL62" s="16"/>
      <c r="AM62" s="16"/>
      <c r="AQ62" s="654"/>
      <c r="AR62" s="654"/>
      <c r="AY62" s="80"/>
      <c r="AZ62" s="80"/>
    </row>
    <row r="63" spans="1:52" s="3" customFormat="1" ht="15.6" customHeight="1" x14ac:dyDescent="0.15">
      <c r="A63" s="49"/>
      <c r="B63" s="430"/>
      <c r="C63" s="430"/>
      <c r="D63" s="423"/>
      <c r="E63" s="423"/>
      <c r="F63" s="423"/>
      <c r="G63" s="423"/>
      <c r="H63" s="419"/>
      <c r="I63" s="433"/>
      <c r="J63" s="433"/>
      <c r="K63" s="433"/>
      <c r="L63" s="433"/>
      <c r="M63" s="430"/>
      <c r="N63" s="433"/>
      <c r="O63" s="433"/>
      <c r="P63" s="433"/>
      <c r="Q63" s="433"/>
      <c r="R63" s="430"/>
      <c r="S63" s="423"/>
      <c r="T63" s="423"/>
      <c r="U63" s="423"/>
      <c r="V63" s="423"/>
      <c r="W63" s="431"/>
      <c r="X63" s="431"/>
      <c r="Y63" s="433"/>
      <c r="Z63" s="37"/>
      <c r="AA63" s="433"/>
      <c r="AB63" s="433"/>
      <c r="AC63" s="431"/>
      <c r="AD63" s="431"/>
      <c r="AE63" s="423"/>
      <c r="AF63" s="423"/>
      <c r="AG63" s="423"/>
      <c r="AH63" s="16"/>
      <c r="AI63" s="16"/>
      <c r="AJ63" s="16"/>
      <c r="AK63" s="16"/>
      <c r="AL63" s="16"/>
      <c r="AM63" s="16"/>
      <c r="AN63" s="14"/>
      <c r="AO63" s="14"/>
      <c r="AP63" s="14"/>
      <c r="AQ63" s="654"/>
      <c r="AR63" s="654"/>
      <c r="AS63" s="14"/>
      <c r="AT63" s="14"/>
      <c r="AU63" s="14"/>
      <c r="AY63" s="79"/>
      <c r="AZ63" s="79"/>
    </row>
    <row r="64" spans="1:52" s="3" customFormat="1" ht="15.6" customHeight="1" x14ac:dyDescent="0.15">
      <c r="A64" s="56" t="s">
        <v>110</v>
      </c>
      <c r="B64" s="332"/>
      <c r="C64" s="332"/>
      <c r="D64" s="332"/>
      <c r="E64" s="332"/>
      <c r="F64" s="332"/>
      <c r="G64" s="333" t="s">
        <v>140</v>
      </c>
      <c r="H64" s="334"/>
      <c r="I64" s="334"/>
      <c r="J64" s="334"/>
      <c r="K64" s="334"/>
      <c r="L64" s="334"/>
      <c r="M64" s="334"/>
      <c r="N64" s="334"/>
      <c r="O64" s="36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414" t="s">
        <v>40</v>
      </c>
      <c r="AH64" s="16"/>
      <c r="AI64" s="16"/>
      <c r="AJ64" s="16"/>
      <c r="AK64" s="16"/>
      <c r="AL64" s="16"/>
      <c r="AM64" s="16"/>
      <c r="AN64" s="16"/>
      <c r="AO64" s="16"/>
      <c r="AP64" s="16"/>
      <c r="AQ64" s="654"/>
      <c r="AR64" s="654"/>
      <c r="AS64" s="16"/>
      <c r="AT64" s="16"/>
      <c r="AU64" s="16"/>
      <c r="AY64" s="79"/>
      <c r="AZ64" s="79"/>
    </row>
    <row r="65" spans="1:52" s="3" customFormat="1" ht="15.6" customHeight="1" x14ac:dyDescent="0.15">
      <c r="A65" s="49"/>
      <c r="B65" s="678" t="s">
        <v>25</v>
      </c>
      <c r="C65" s="679"/>
      <c r="D65" s="680"/>
      <c r="E65" s="684" t="s">
        <v>41</v>
      </c>
      <c r="F65" s="685"/>
      <c r="G65" s="686"/>
      <c r="H65" s="684" t="s">
        <v>42</v>
      </c>
      <c r="I65" s="685"/>
      <c r="J65" s="686"/>
      <c r="K65" s="684" t="s">
        <v>43</v>
      </c>
      <c r="L65" s="685"/>
      <c r="M65" s="690" t="s">
        <v>44</v>
      </c>
      <c r="N65" s="690"/>
      <c r="O65" s="690" t="s">
        <v>45</v>
      </c>
      <c r="P65" s="690"/>
      <c r="Q65" s="690"/>
      <c r="R65" s="684" t="s">
        <v>46</v>
      </c>
      <c r="S65" s="686"/>
      <c r="T65" s="684" t="s">
        <v>47</v>
      </c>
      <c r="U65" s="686"/>
      <c r="V65" s="690" t="s">
        <v>48</v>
      </c>
      <c r="W65" s="690"/>
      <c r="X65" s="690" t="s">
        <v>112</v>
      </c>
      <c r="Y65" s="690"/>
      <c r="Z65" s="684" t="s">
        <v>113</v>
      </c>
      <c r="AA65" s="685"/>
      <c r="AB65" s="686"/>
      <c r="AC65" s="697" t="s">
        <v>128</v>
      </c>
      <c r="AD65" s="698"/>
      <c r="AE65" s="684" t="s">
        <v>82</v>
      </c>
      <c r="AF65" s="685"/>
      <c r="AG65" s="686"/>
      <c r="AH65" s="16"/>
      <c r="AI65" s="16"/>
      <c r="AJ65" s="16"/>
      <c r="AK65" s="16"/>
      <c r="AL65" s="16"/>
      <c r="AM65" s="16"/>
      <c r="AN65" s="16"/>
      <c r="AO65" s="16"/>
      <c r="AP65" s="16"/>
      <c r="AQ65" s="654"/>
      <c r="AR65" s="654"/>
      <c r="AS65" s="16"/>
      <c r="AT65" s="16"/>
      <c r="AU65" s="16"/>
      <c r="AY65" s="79"/>
      <c r="AZ65" s="79"/>
    </row>
    <row r="66" spans="1:52" s="3" customFormat="1" ht="15.6" customHeight="1" x14ac:dyDescent="0.15">
      <c r="A66" s="49"/>
      <c r="B66" s="681"/>
      <c r="C66" s="682"/>
      <c r="D66" s="683"/>
      <c r="E66" s="687"/>
      <c r="F66" s="688"/>
      <c r="G66" s="689"/>
      <c r="H66" s="687"/>
      <c r="I66" s="688"/>
      <c r="J66" s="689"/>
      <c r="K66" s="687"/>
      <c r="L66" s="688"/>
      <c r="M66" s="691"/>
      <c r="N66" s="691"/>
      <c r="O66" s="691"/>
      <c r="P66" s="691"/>
      <c r="Q66" s="691"/>
      <c r="R66" s="687"/>
      <c r="S66" s="689"/>
      <c r="T66" s="687"/>
      <c r="U66" s="689"/>
      <c r="V66" s="691"/>
      <c r="W66" s="691"/>
      <c r="X66" s="691"/>
      <c r="Y66" s="691"/>
      <c r="Z66" s="687"/>
      <c r="AA66" s="688"/>
      <c r="AB66" s="689"/>
      <c r="AC66" s="699"/>
      <c r="AD66" s="700"/>
      <c r="AE66" s="687"/>
      <c r="AF66" s="688"/>
      <c r="AG66" s="689"/>
      <c r="AH66" s="16"/>
      <c r="AI66" s="16"/>
      <c r="AJ66" s="16"/>
      <c r="AK66" s="16"/>
      <c r="AL66" s="16"/>
      <c r="AM66" s="16"/>
      <c r="AN66" s="16"/>
      <c r="AO66" s="16"/>
      <c r="AP66" s="16"/>
      <c r="AQ66" s="654"/>
      <c r="AR66" s="654"/>
      <c r="AS66" s="16"/>
      <c r="AT66" s="16"/>
      <c r="AU66" s="16"/>
      <c r="AY66" s="79"/>
      <c r="AZ66" s="79"/>
    </row>
    <row r="67" spans="1:52" s="14" customFormat="1" ht="15.6" customHeight="1" x14ac:dyDescent="0.15">
      <c r="A67" s="434"/>
      <c r="B67" s="701" t="s">
        <v>86</v>
      </c>
      <c r="C67" s="702"/>
      <c r="D67" s="703"/>
      <c r="E67" s="667">
        <v>2237</v>
      </c>
      <c r="F67" s="668"/>
      <c r="G67" s="669"/>
      <c r="H67" s="667">
        <v>2354</v>
      </c>
      <c r="I67" s="668"/>
      <c r="J67" s="669"/>
      <c r="K67" s="667">
        <v>113</v>
      </c>
      <c r="L67" s="668"/>
      <c r="M67" s="673">
        <v>601</v>
      </c>
      <c r="N67" s="673"/>
      <c r="O67" s="673">
        <v>2179</v>
      </c>
      <c r="P67" s="673"/>
      <c r="Q67" s="673"/>
      <c r="R67" s="667">
        <v>0</v>
      </c>
      <c r="S67" s="669"/>
      <c r="T67" s="667">
        <v>59</v>
      </c>
      <c r="U67" s="669"/>
      <c r="V67" s="673">
        <v>11</v>
      </c>
      <c r="W67" s="673"/>
      <c r="X67" s="715">
        <v>10</v>
      </c>
      <c r="Y67" s="715"/>
      <c r="Z67" s="717">
        <v>1</v>
      </c>
      <c r="AA67" s="718"/>
      <c r="AB67" s="719"/>
      <c r="AC67" s="717">
        <v>1</v>
      </c>
      <c r="AD67" s="719"/>
      <c r="AE67" s="667">
        <f>SUM(E67:AD68)</f>
        <v>7566</v>
      </c>
      <c r="AF67" s="668"/>
      <c r="AG67" s="669"/>
      <c r="AH67" s="541"/>
      <c r="AI67" s="541"/>
      <c r="AJ67" s="541"/>
      <c r="AK67" s="541"/>
      <c r="AL67" s="541"/>
      <c r="AM67" s="541"/>
      <c r="AN67" s="541"/>
      <c r="AO67" s="541"/>
      <c r="AP67" s="541"/>
      <c r="AQ67" s="654"/>
      <c r="AR67" s="654"/>
      <c r="AS67" s="541"/>
      <c r="AT67" s="541"/>
      <c r="AU67" s="541"/>
      <c r="AY67" s="80"/>
      <c r="AZ67" s="80"/>
    </row>
    <row r="68" spans="1:52" s="14" customFormat="1" ht="15.6" customHeight="1" x14ac:dyDescent="0.15">
      <c r="A68" s="434"/>
      <c r="B68" s="711"/>
      <c r="C68" s="712"/>
      <c r="D68" s="713"/>
      <c r="E68" s="670"/>
      <c r="F68" s="671"/>
      <c r="G68" s="672"/>
      <c r="H68" s="670"/>
      <c r="I68" s="671"/>
      <c r="J68" s="672"/>
      <c r="K68" s="670"/>
      <c r="L68" s="671"/>
      <c r="M68" s="714"/>
      <c r="N68" s="714"/>
      <c r="O68" s="714"/>
      <c r="P68" s="714"/>
      <c r="Q68" s="714"/>
      <c r="R68" s="670"/>
      <c r="S68" s="672"/>
      <c r="T68" s="670"/>
      <c r="U68" s="672"/>
      <c r="V68" s="714"/>
      <c r="W68" s="714"/>
      <c r="X68" s="726"/>
      <c r="Y68" s="726"/>
      <c r="Z68" s="727"/>
      <c r="AA68" s="728"/>
      <c r="AB68" s="729"/>
      <c r="AC68" s="727"/>
      <c r="AD68" s="729"/>
      <c r="AE68" s="670"/>
      <c r="AF68" s="671"/>
      <c r="AG68" s="672"/>
      <c r="AH68" s="541"/>
      <c r="AI68" s="541"/>
      <c r="AJ68" s="541"/>
      <c r="AK68" s="541"/>
      <c r="AL68" s="541"/>
      <c r="AM68" s="541"/>
      <c r="AN68" s="541"/>
      <c r="AO68" s="541"/>
      <c r="AP68" s="541"/>
      <c r="AQ68" s="654"/>
      <c r="AR68" s="654"/>
      <c r="AS68" s="541"/>
      <c r="AT68" s="541"/>
      <c r="AU68" s="541"/>
      <c r="AY68" s="80"/>
      <c r="AZ68" s="80"/>
    </row>
    <row r="69" spans="1:52" s="14" customFormat="1" ht="15.6" customHeight="1" x14ac:dyDescent="0.15">
      <c r="A69" s="434"/>
      <c r="B69" s="701" t="s">
        <v>87</v>
      </c>
      <c r="C69" s="702"/>
      <c r="D69" s="703"/>
      <c r="E69" s="667">
        <v>2851</v>
      </c>
      <c r="F69" s="668"/>
      <c r="G69" s="669"/>
      <c r="H69" s="667">
        <v>2963</v>
      </c>
      <c r="I69" s="668"/>
      <c r="J69" s="669"/>
      <c r="K69" s="667">
        <v>161</v>
      </c>
      <c r="L69" s="668"/>
      <c r="M69" s="673">
        <v>624</v>
      </c>
      <c r="N69" s="673"/>
      <c r="O69" s="673">
        <v>2662</v>
      </c>
      <c r="P69" s="673"/>
      <c r="Q69" s="673"/>
      <c r="R69" s="667">
        <v>0</v>
      </c>
      <c r="S69" s="669"/>
      <c r="T69" s="667">
        <v>68</v>
      </c>
      <c r="U69" s="669"/>
      <c r="V69" s="673">
        <v>11</v>
      </c>
      <c r="W69" s="673"/>
      <c r="X69" s="715">
        <v>10</v>
      </c>
      <c r="Y69" s="715"/>
      <c r="Z69" s="717">
        <v>1</v>
      </c>
      <c r="AA69" s="718"/>
      <c r="AB69" s="719"/>
      <c r="AC69" s="717">
        <v>1</v>
      </c>
      <c r="AD69" s="719"/>
      <c r="AE69" s="723">
        <f>SUM(E69:AC70)</f>
        <v>9352</v>
      </c>
      <c r="AF69" s="724"/>
      <c r="AG69" s="725"/>
      <c r="AH69" s="541"/>
      <c r="AI69" s="541"/>
      <c r="AJ69" s="541"/>
      <c r="AK69" s="541"/>
      <c r="AL69" s="541"/>
      <c r="AM69" s="541"/>
      <c r="AN69" s="541"/>
      <c r="AO69" s="541"/>
      <c r="AP69" s="541"/>
      <c r="AQ69" s="86"/>
      <c r="AR69" s="86"/>
      <c r="AS69" s="541"/>
      <c r="AT69" s="541"/>
      <c r="AU69" s="541"/>
      <c r="AY69" s="80"/>
      <c r="AZ69" s="80"/>
    </row>
    <row r="70" spans="1:52" s="14" customFormat="1" ht="15.6" customHeight="1" thickBot="1" x14ac:dyDescent="0.2">
      <c r="A70" s="16"/>
      <c r="B70" s="704"/>
      <c r="C70" s="705"/>
      <c r="D70" s="706"/>
      <c r="E70" s="707"/>
      <c r="F70" s="708"/>
      <c r="G70" s="709"/>
      <c r="H70" s="707"/>
      <c r="I70" s="708"/>
      <c r="J70" s="709"/>
      <c r="K70" s="707"/>
      <c r="L70" s="708"/>
      <c r="M70" s="710"/>
      <c r="N70" s="710"/>
      <c r="O70" s="710"/>
      <c r="P70" s="710"/>
      <c r="Q70" s="710"/>
      <c r="R70" s="707"/>
      <c r="S70" s="709"/>
      <c r="T70" s="707"/>
      <c r="U70" s="709"/>
      <c r="V70" s="710"/>
      <c r="W70" s="710"/>
      <c r="X70" s="716"/>
      <c r="Y70" s="716"/>
      <c r="Z70" s="720"/>
      <c r="AA70" s="721"/>
      <c r="AB70" s="722"/>
      <c r="AC70" s="720"/>
      <c r="AD70" s="722"/>
      <c r="AE70" s="707"/>
      <c r="AF70" s="708"/>
      <c r="AG70" s="709"/>
      <c r="AH70" s="16"/>
      <c r="AI70" s="16"/>
      <c r="AJ70" s="16"/>
      <c r="AK70" s="16"/>
      <c r="AL70" s="16"/>
      <c r="AM70" s="16"/>
      <c r="AN70" s="16"/>
      <c r="AO70" s="16"/>
      <c r="AP70" s="16"/>
      <c r="AQ70" s="87"/>
      <c r="AR70" s="87"/>
      <c r="AS70" s="16"/>
      <c r="AT70" s="16"/>
      <c r="AU70" s="16"/>
      <c r="AY70" s="80"/>
      <c r="AZ70" s="80"/>
    </row>
    <row r="71" spans="1:52" s="14" customFormat="1" ht="15.6" customHeight="1" thickTop="1" x14ac:dyDescent="0.15">
      <c r="A71" s="16"/>
      <c r="B71" s="874" t="s">
        <v>204</v>
      </c>
      <c r="C71" s="875"/>
      <c r="D71" s="876"/>
      <c r="E71" s="847">
        <v>1815194</v>
      </c>
      <c r="F71" s="848"/>
      <c r="G71" s="849"/>
      <c r="H71" s="847">
        <v>1042131</v>
      </c>
      <c r="I71" s="848"/>
      <c r="J71" s="849"/>
      <c r="K71" s="847">
        <v>17140</v>
      </c>
      <c r="L71" s="848"/>
      <c r="M71" s="855">
        <v>207464</v>
      </c>
      <c r="N71" s="855"/>
      <c r="O71" s="855">
        <v>2887036</v>
      </c>
      <c r="P71" s="855"/>
      <c r="Q71" s="855"/>
      <c r="R71" s="847">
        <v>1155</v>
      </c>
      <c r="S71" s="849"/>
      <c r="T71" s="847">
        <v>11167</v>
      </c>
      <c r="U71" s="849"/>
      <c r="V71" s="855">
        <v>20551</v>
      </c>
      <c r="W71" s="855"/>
      <c r="X71" s="855">
        <v>24936</v>
      </c>
      <c r="Y71" s="855"/>
      <c r="Z71" s="847">
        <v>784</v>
      </c>
      <c r="AA71" s="848"/>
      <c r="AB71" s="849"/>
      <c r="AC71" s="870">
        <v>800</v>
      </c>
      <c r="AD71" s="871"/>
      <c r="AE71" s="847">
        <f>SUM(E71:AD72)</f>
        <v>6028358</v>
      </c>
      <c r="AF71" s="848"/>
      <c r="AG71" s="849"/>
      <c r="AH71" s="16"/>
      <c r="AI71" s="537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Y71" s="80"/>
      <c r="AZ71" s="80"/>
    </row>
    <row r="72" spans="1:52" s="14" customFormat="1" ht="15.6" customHeight="1" x14ac:dyDescent="0.15">
      <c r="A72" s="16"/>
      <c r="B72" s="877"/>
      <c r="C72" s="878"/>
      <c r="D72" s="879"/>
      <c r="E72" s="850"/>
      <c r="F72" s="851"/>
      <c r="G72" s="852"/>
      <c r="H72" s="850"/>
      <c r="I72" s="851"/>
      <c r="J72" s="852"/>
      <c r="K72" s="853"/>
      <c r="L72" s="854"/>
      <c r="M72" s="856"/>
      <c r="N72" s="856"/>
      <c r="O72" s="856"/>
      <c r="P72" s="856"/>
      <c r="Q72" s="856"/>
      <c r="R72" s="850"/>
      <c r="S72" s="852"/>
      <c r="T72" s="850"/>
      <c r="U72" s="852"/>
      <c r="V72" s="856"/>
      <c r="W72" s="856"/>
      <c r="X72" s="856"/>
      <c r="Y72" s="856"/>
      <c r="Z72" s="853"/>
      <c r="AA72" s="854"/>
      <c r="AB72" s="864"/>
      <c r="AC72" s="872"/>
      <c r="AD72" s="873"/>
      <c r="AE72" s="853"/>
      <c r="AF72" s="854"/>
      <c r="AG72" s="864"/>
      <c r="AH72" s="16"/>
      <c r="AI72" s="537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Y72" s="80"/>
      <c r="AZ72" s="80"/>
    </row>
    <row r="73" spans="1:52" s="14" customFormat="1" ht="15.6" customHeight="1" x14ac:dyDescent="0.15">
      <c r="A73" s="16"/>
      <c r="B73" s="865" t="s">
        <v>30</v>
      </c>
      <c r="C73" s="866"/>
      <c r="D73" s="867"/>
      <c r="E73" s="858">
        <v>0.30120000000000002</v>
      </c>
      <c r="F73" s="859"/>
      <c r="G73" s="860"/>
      <c r="H73" s="858">
        <f>H71/AE71</f>
        <v>0.17287145189452915</v>
      </c>
      <c r="I73" s="859"/>
      <c r="J73" s="860"/>
      <c r="K73" s="858">
        <f>K71/AE71</f>
        <v>2.8432286204634828E-3</v>
      </c>
      <c r="L73" s="860"/>
      <c r="M73" s="858">
        <f>M71/AE71</f>
        <v>3.4414678093105951E-2</v>
      </c>
      <c r="N73" s="859"/>
      <c r="O73" s="858">
        <f>O71/AE71</f>
        <v>0.47890918223502982</v>
      </c>
      <c r="P73" s="859"/>
      <c r="Q73" s="860"/>
      <c r="R73" s="868">
        <f>R71/AE71</f>
        <v>1.9159446071384612E-4</v>
      </c>
      <c r="S73" s="869"/>
      <c r="T73" s="868">
        <f>T71/AE71</f>
        <v>1.8524115522004499E-3</v>
      </c>
      <c r="U73" s="869"/>
      <c r="V73" s="857">
        <f>V71/AE71</f>
        <v>3.4090543395067113E-3</v>
      </c>
      <c r="W73" s="857"/>
      <c r="X73" s="857">
        <f>X71/AE71</f>
        <v>4.1364497596194519E-3</v>
      </c>
      <c r="Y73" s="857"/>
      <c r="Z73" s="858">
        <f>Z71/AE71</f>
        <v>1.300519975754592E-4</v>
      </c>
      <c r="AA73" s="859"/>
      <c r="AB73" s="860"/>
      <c r="AC73" s="858">
        <f>AC71/AE71</f>
        <v>1.3270611997495837E-4</v>
      </c>
      <c r="AD73" s="860"/>
      <c r="AE73" s="861">
        <v>1</v>
      </c>
      <c r="AF73" s="862"/>
      <c r="AG73" s="863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Y73" s="80"/>
      <c r="AZ73" s="80"/>
    </row>
    <row r="74" spans="1:52" s="3" customFormat="1" ht="15.6" customHeight="1" x14ac:dyDescent="0.15">
      <c r="A74" s="49"/>
      <c r="B74" s="433"/>
      <c r="C74" s="430"/>
      <c r="D74" s="430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70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Y74" s="79"/>
      <c r="AZ74" s="79"/>
    </row>
    <row r="75" spans="1:52" s="3" customFormat="1" ht="15.6" customHeight="1" x14ac:dyDescent="0.15">
      <c r="A75" s="50" t="s">
        <v>71</v>
      </c>
      <c r="B75" s="49"/>
      <c r="C75" s="49"/>
      <c r="D75" s="49"/>
      <c r="E75" s="49"/>
      <c r="F75" s="49"/>
      <c r="G75" s="49"/>
      <c r="H75" s="49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426" t="s">
        <v>33</v>
      </c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Y75" s="79"/>
      <c r="AZ75" s="79"/>
    </row>
    <row r="76" spans="1:52" s="3" customFormat="1" ht="15.6" customHeight="1" x14ac:dyDescent="0.15">
      <c r="A76" s="49"/>
      <c r="B76" s="730" t="s">
        <v>34</v>
      </c>
      <c r="C76" s="730"/>
      <c r="D76" s="730"/>
      <c r="E76" s="730"/>
      <c r="F76" s="730"/>
      <c r="G76" s="730"/>
      <c r="H76" s="730" t="s">
        <v>35</v>
      </c>
      <c r="I76" s="730"/>
      <c r="J76" s="730"/>
      <c r="K76" s="730"/>
      <c r="L76" s="730"/>
      <c r="M76" s="730"/>
      <c r="N76" s="730"/>
      <c r="O76" s="730"/>
      <c r="P76" s="730"/>
      <c r="Q76" s="730"/>
      <c r="R76" s="730"/>
      <c r="S76" s="730"/>
      <c r="T76" s="730"/>
      <c r="U76" s="730"/>
      <c r="V76" s="730"/>
      <c r="W76" s="730"/>
      <c r="X76" s="730"/>
      <c r="Y76" s="730"/>
      <c r="Z76" s="549" t="s">
        <v>36</v>
      </c>
      <c r="AA76" s="550"/>
      <c r="AB76" s="550"/>
      <c r="AC76" s="550"/>
      <c r="AD76" s="550"/>
      <c r="AE76" s="550"/>
      <c r="AF76" s="550"/>
      <c r="AG76" s="551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Y76" s="79"/>
      <c r="AZ76" s="79"/>
    </row>
    <row r="77" spans="1:52" s="3" customFormat="1" ht="15.6" customHeight="1" x14ac:dyDescent="0.15">
      <c r="A77" s="49"/>
      <c r="B77" s="730"/>
      <c r="C77" s="730"/>
      <c r="D77" s="730"/>
      <c r="E77" s="730"/>
      <c r="F77" s="730"/>
      <c r="G77" s="730"/>
      <c r="H77" s="730" t="s">
        <v>37</v>
      </c>
      <c r="I77" s="730"/>
      <c r="J77" s="730"/>
      <c r="K77" s="730"/>
      <c r="L77" s="730"/>
      <c r="M77" s="730"/>
      <c r="N77" s="730" t="s">
        <v>38</v>
      </c>
      <c r="O77" s="730"/>
      <c r="P77" s="730"/>
      <c r="Q77" s="730"/>
      <c r="R77" s="730"/>
      <c r="S77" s="730"/>
      <c r="T77" s="730" t="s">
        <v>39</v>
      </c>
      <c r="U77" s="730"/>
      <c r="V77" s="730"/>
      <c r="W77" s="730"/>
      <c r="X77" s="730"/>
      <c r="Y77" s="730"/>
      <c r="Z77" s="552"/>
      <c r="AA77" s="553"/>
      <c r="AB77" s="553"/>
      <c r="AC77" s="553"/>
      <c r="AD77" s="553"/>
      <c r="AE77" s="553"/>
      <c r="AF77" s="553"/>
      <c r="AG77" s="554"/>
      <c r="AH77" s="16"/>
      <c r="AI77" s="16"/>
      <c r="AJ77" s="16"/>
      <c r="AK77" s="16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Y77" s="79"/>
      <c r="AZ77" s="79"/>
    </row>
    <row r="78" spans="1:52" s="3" customFormat="1" ht="15.6" customHeight="1" x14ac:dyDescent="0.15">
      <c r="A78" s="49"/>
      <c r="B78" s="731" t="s">
        <v>137</v>
      </c>
      <c r="C78" s="732"/>
      <c r="D78" s="732"/>
      <c r="E78" s="732"/>
      <c r="F78" s="732"/>
      <c r="G78" s="733"/>
      <c r="H78" s="734">
        <v>5300000</v>
      </c>
      <c r="I78" s="735"/>
      <c r="J78" s="735"/>
      <c r="K78" s="735"/>
      <c r="L78" s="735"/>
      <c r="M78" s="736"/>
      <c r="N78" s="737">
        <v>346000</v>
      </c>
      <c r="O78" s="738"/>
      <c r="P78" s="738"/>
      <c r="Q78" s="738"/>
      <c r="R78" s="738"/>
      <c r="S78" s="739"/>
      <c r="T78" s="734">
        <f t="shared" ref="T78:T80" si="1">SUM(H78:S78)</f>
        <v>5646000</v>
      </c>
      <c r="U78" s="735"/>
      <c r="V78" s="735"/>
      <c r="W78" s="735"/>
      <c r="X78" s="735"/>
      <c r="Y78" s="736"/>
      <c r="Z78" s="740">
        <v>5636644</v>
      </c>
      <c r="AA78" s="741"/>
      <c r="AB78" s="741"/>
      <c r="AC78" s="741"/>
      <c r="AD78" s="741"/>
      <c r="AE78" s="741"/>
      <c r="AF78" s="741"/>
      <c r="AG78" s="742"/>
      <c r="AH78" s="16"/>
      <c r="AI78" s="16"/>
      <c r="AJ78" s="16"/>
      <c r="AK78" s="16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Y78" s="79"/>
      <c r="AZ78" s="79"/>
    </row>
    <row r="79" spans="1:52" s="3" customFormat="1" ht="15.6" customHeight="1" x14ac:dyDescent="0.15">
      <c r="A79" s="49"/>
      <c r="B79" s="731" t="s">
        <v>138</v>
      </c>
      <c r="C79" s="732"/>
      <c r="D79" s="732"/>
      <c r="E79" s="732"/>
      <c r="F79" s="732"/>
      <c r="G79" s="733"/>
      <c r="H79" s="734">
        <v>5310000</v>
      </c>
      <c r="I79" s="735"/>
      <c r="J79" s="735"/>
      <c r="K79" s="735"/>
      <c r="L79" s="735"/>
      <c r="M79" s="736"/>
      <c r="N79" s="743">
        <v>197000</v>
      </c>
      <c r="O79" s="744"/>
      <c r="P79" s="744"/>
      <c r="Q79" s="744"/>
      <c r="R79" s="744"/>
      <c r="S79" s="745"/>
      <c r="T79" s="734">
        <f t="shared" si="1"/>
        <v>5507000</v>
      </c>
      <c r="U79" s="735"/>
      <c r="V79" s="735"/>
      <c r="W79" s="735"/>
      <c r="X79" s="735"/>
      <c r="Y79" s="736"/>
      <c r="Z79" s="734">
        <v>5500325</v>
      </c>
      <c r="AA79" s="735"/>
      <c r="AB79" s="735"/>
      <c r="AC79" s="735"/>
      <c r="AD79" s="735"/>
      <c r="AE79" s="735"/>
      <c r="AF79" s="735"/>
      <c r="AG79" s="736"/>
      <c r="AH79" s="16"/>
      <c r="AI79" s="16"/>
      <c r="AJ79" s="16"/>
      <c r="AK79" s="16"/>
      <c r="AL79" s="16"/>
      <c r="AM79" s="16"/>
      <c r="AN79" s="16"/>
      <c r="AO79" s="16"/>
      <c r="AP79" s="14"/>
      <c r="AQ79" s="14"/>
      <c r="AR79" s="14"/>
      <c r="AS79" s="14"/>
      <c r="AT79" s="14"/>
      <c r="AU79" s="14"/>
      <c r="AY79" s="79"/>
      <c r="AZ79" s="79"/>
    </row>
    <row r="80" spans="1:52" s="3" customFormat="1" ht="15.6" customHeight="1" x14ac:dyDescent="0.15">
      <c r="A80" s="49"/>
      <c r="B80" s="746" t="s">
        <v>132</v>
      </c>
      <c r="C80" s="746"/>
      <c r="D80" s="746"/>
      <c r="E80" s="746"/>
      <c r="F80" s="746"/>
      <c r="G80" s="746"/>
      <c r="H80" s="747">
        <v>5510000</v>
      </c>
      <c r="I80" s="748"/>
      <c r="J80" s="748"/>
      <c r="K80" s="748"/>
      <c r="L80" s="748"/>
      <c r="M80" s="749"/>
      <c r="N80" s="743">
        <v>388000</v>
      </c>
      <c r="O80" s="744"/>
      <c r="P80" s="744"/>
      <c r="Q80" s="744"/>
      <c r="R80" s="744"/>
      <c r="S80" s="745"/>
      <c r="T80" s="747">
        <f t="shared" si="1"/>
        <v>5898000</v>
      </c>
      <c r="U80" s="748"/>
      <c r="V80" s="748"/>
      <c r="W80" s="748"/>
      <c r="X80" s="748"/>
      <c r="Y80" s="749"/>
      <c r="Z80" s="747">
        <v>5894929</v>
      </c>
      <c r="AA80" s="748"/>
      <c r="AB80" s="748"/>
      <c r="AC80" s="748"/>
      <c r="AD80" s="748"/>
      <c r="AE80" s="748"/>
      <c r="AF80" s="748"/>
      <c r="AG80" s="749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Y80" s="79"/>
      <c r="AZ80" s="79"/>
    </row>
    <row r="81" spans="1:54" s="14" customFormat="1" ht="15.6" customHeight="1" x14ac:dyDescent="0.15">
      <c r="A81" s="16"/>
      <c r="B81" s="746" t="s">
        <v>145</v>
      </c>
      <c r="C81" s="746"/>
      <c r="D81" s="746"/>
      <c r="E81" s="746"/>
      <c r="F81" s="746"/>
      <c r="G81" s="746"/>
      <c r="H81" s="747">
        <v>5596000</v>
      </c>
      <c r="I81" s="748"/>
      <c r="J81" s="748"/>
      <c r="K81" s="748"/>
      <c r="L81" s="748"/>
      <c r="M81" s="749"/>
      <c r="N81" s="743">
        <v>448000</v>
      </c>
      <c r="O81" s="744"/>
      <c r="P81" s="744"/>
      <c r="Q81" s="744"/>
      <c r="R81" s="744"/>
      <c r="S81" s="745"/>
      <c r="T81" s="747">
        <f>SUM(H81:S81)</f>
        <v>6044000</v>
      </c>
      <c r="U81" s="748"/>
      <c r="V81" s="748"/>
      <c r="W81" s="748"/>
      <c r="X81" s="748"/>
      <c r="Y81" s="749"/>
      <c r="Z81" s="747">
        <v>6030198</v>
      </c>
      <c r="AA81" s="748"/>
      <c r="AB81" s="748"/>
      <c r="AC81" s="748"/>
      <c r="AD81" s="748"/>
      <c r="AE81" s="748"/>
      <c r="AF81" s="748"/>
      <c r="AG81" s="749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Y81" s="80"/>
      <c r="AZ81" s="80"/>
    </row>
    <row r="82" spans="1:54" s="14" customFormat="1" ht="15.6" customHeight="1" x14ac:dyDescent="0.15">
      <c r="A82" s="16"/>
      <c r="B82" s="746" t="s">
        <v>177</v>
      </c>
      <c r="C82" s="746"/>
      <c r="D82" s="746"/>
      <c r="E82" s="746"/>
      <c r="F82" s="746"/>
      <c r="G82" s="746"/>
      <c r="H82" s="747">
        <v>5894929</v>
      </c>
      <c r="I82" s="748"/>
      <c r="J82" s="748"/>
      <c r="K82" s="748"/>
      <c r="L82" s="748"/>
      <c r="M82" s="749"/>
      <c r="N82" s="892"/>
      <c r="O82" s="893"/>
      <c r="P82" s="893"/>
      <c r="Q82" s="893"/>
      <c r="R82" s="893"/>
      <c r="S82" s="894"/>
      <c r="T82" s="844"/>
      <c r="U82" s="845"/>
      <c r="V82" s="845"/>
      <c r="W82" s="845"/>
      <c r="X82" s="845"/>
      <c r="Y82" s="846"/>
      <c r="Z82" s="844"/>
      <c r="AA82" s="845"/>
      <c r="AB82" s="845"/>
      <c r="AC82" s="845"/>
      <c r="AD82" s="845"/>
      <c r="AE82" s="845"/>
      <c r="AF82" s="845"/>
      <c r="AG82" s="84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Y82" s="80"/>
      <c r="AZ82" s="80"/>
    </row>
    <row r="83" spans="1:54" s="3" customFormat="1" ht="15.6" customHeight="1" x14ac:dyDescent="0.15">
      <c r="A83" s="49"/>
      <c r="B83" s="430"/>
      <c r="C83" s="430"/>
      <c r="D83" s="430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Y83" s="79"/>
      <c r="AZ83" s="79"/>
    </row>
    <row r="84" spans="1:54" s="1" customFormat="1" ht="15.6" customHeight="1" x14ac:dyDescent="0.15">
      <c r="A84" s="49" t="s">
        <v>49</v>
      </c>
      <c r="B84" s="49"/>
      <c r="C84" s="49"/>
      <c r="D84" s="49"/>
      <c r="E84" s="49"/>
      <c r="F84" s="49"/>
      <c r="G84" s="49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54" t="s">
        <v>119</v>
      </c>
      <c r="AB84" s="49"/>
      <c r="AC84" s="49"/>
      <c r="AD84" s="49"/>
      <c r="AE84" s="49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Y84" s="403"/>
      <c r="AZ84" s="403"/>
    </row>
    <row r="85" spans="1:54" s="1" customFormat="1" ht="15.6" customHeight="1" x14ac:dyDescent="0.15">
      <c r="A85" s="49"/>
      <c r="B85" s="730" t="s">
        <v>78</v>
      </c>
      <c r="C85" s="730"/>
      <c r="D85" s="730"/>
      <c r="E85" s="730"/>
      <c r="F85" s="730"/>
      <c r="G85" s="751" t="s">
        <v>127</v>
      </c>
      <c r="H85" s="752"/>
      <c r="I85" s="752"/>
      <c r="J85" s="752"/>
      <c r="K85" s="753"/>
      <c r="L85" s="751" t="s">
        <v>138</v>
      </c>
      <c r="M85" s="752"/>
      <c r="N85" s="752"/>
      <c r="O85" s="752"/>
      <c r="P85" s="753"/>
      <c r="Q85" s="751" t="s">
        <v>132</v>
      </c>
      <c r="R85" s="752"/>
      <c r="S85" s="752"/>
      <c r="T85" s="752"/>
      <c r="U85" s="753"/>
      <c r="V85" s="754" t="s">
        <v>145</v>
      </c>
      <c r="W85" s="730"/>
      <c r="X85" s="730"/>
      <c r="Y85" s="730"/>
      <c r="Z85" s="730"/>
      <c r="AA85" s="754" t="s">
        <v>177</v>
      </c>
      <c r="AB85" s="730"/>
      <c r="AC85" s="730"/>
      <c r="AD85" s="730"/>
      <c r="AE85" s="730"/>
      <c r="AF85" s="16"/>
      <c r="AG85" s="16"/>
      <c r="AH85" s="16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Y85" s="403"/>
      <c r="AZ85" s="403"/>
    </row>
    <row r="86" spans="1:54" s="1" customFormat="1" ht="15.6" customHeight="1" x14ac:dyDescent="0.15">
      <c r="A86" s="49"/>
      <c r="B86" s="756" t="s">
        <v>77</v>
      </c>
      <c r="C86" s="756"/>
      <c r="D86" s="756"/>
      <c r="E86" s="756"/>
      <c r="F86" s="756"/>
      <c r="G86" s="757">
        <f>990+98</f>
        <v>1088</v>
      </c>
      <c r="H86" s="758"/>
      <c r="I86" s="758"/>
      <c r="J86" s="758"/>
      <c r="K86" s="759"/>
      <c r="L86" s="757">
        <v>1174</v>
      </c>
      <c r="M86" s="758"/>
      <c r="N86" s="758"/>
      <c r="O86" s="758"/>
      <c r="P86" s="759"/>
      <c r="Q86" s="757">
        <v>1207</v>
      </c>
      <c r="R86" s="758"/>
      <c r="S86" s="758"/>
      <c r="T86" s="758"/>
      <c r="U86" s="759"/>
      <c r="V86" s="763">
        <v>1103</v>
      </c>
      <c r="W86" s="763"/>
      <c r="X86" s="763"/>
      <c r="Y86" s="763"/>
      <c r="Z86" s="763"/>
      <c r="AA86" s="764">
        <f>77+122+80+81+103+93+102+107+85</f>
        <v>850</v>
      </c>
      <c r="AB86" s="764"/>
      <c r="AC86" s="764"/>
      <c r="AD86" s="764"/>
      <c r="AE86" s="764"/>
      <c r="AF86" s="16"/>
      <c r="AG86" s="16"/>
      <c r="AH86" s="16"/>
      <c r="AI86" s="755"/>
      <c r="AJ86" s="755"/>
      <c r="AK86" s="755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Y86" s="403"/>
      <c r="AZ86" s="403"/>
    </row>
    <row r="87" spans="1:54" s="1" customFormat="1" ht="15.6" customHeight="1" x14ac:dyDescent="0.15">
      <c r="A87" s="49"/>
      <c r="B87" s="756" t="s">
        <v>76</v>
      </c>
      <c r="C87" s="756"/>
      <c r="D87" s="756"/>
      <c r="E87" s="756"/>
      <c r="F87" s="756"/>
      <c r="G87" s="757">
        <v>91</v>
      </c>
      <c r="H87" s="758"/>
      <c r="I87" s="758"/>
      <c r="J87" s="758"/>
      <c r="K87" s="759"/>
      <c r="L87" s="757">
        <f>L86/12</f>
        <v>97.833333333333329</v>
      </c>
      <c r="M87" s="758"/>
      <c r="N87" s="758"/>
      <c r="O87" s="758"/>
      <c r="P87" s="759"/>
      <c r="Q87" s="757">
        <f>Q86/12</f>
        <v>100.58333333333333</v>
      </c>
      <c r="R87" s="758"/>
      <c r="S87" s="758"/>
      <c r="T87" s="758"/>
      <c r="U87" s="759"/>
      <c r="V87" s="757">
        <f>V86/12</f>
        <v>91.916666666666671</v>
      </c>
      <c r="W87" s="758"/>
      <c r="X87" s="758"/>
      <c r="Y87" s="758"/>
      <c r="Z87" s="759"/>
      <c r="AA87" s="760">
        <f>AA86/8</f>
        <v>106.25</v>
      </c>
      <c r="AB87" s="761"/>
      <c r="AC87" s="761"/>
      <c r="AD87" s="761"/>
      <c r="AE87" s="762"/>
      <c r="AF87" s="16"/>
      <c r="AG87" s="16"/>
      <c r="AH87" s="16"/>
      <c r="AI87" s="889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Y87" s="403"/>
      <c r="AZ87" s="403"/>
    </row>
    <row r="88" spans="1:54" s="1" customFormat="1" ht="15.6" customHeight="1" x14ac:dyDescent="0.15">
      <c r="A88" s="49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Y88" s="403"/>
      <c r="AZ88" s="403"/>
    </row>
    <row r="89" spans="1:54" s="1" customFormat="1" ht="15.6" customHeight="1" x14ac:dyDescent="0.15">
      <c r="A89" s="50" t="s">
        <v>63</v>
      </c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16"/>
      <c r="U89" s="16"/>
      <c r="V89" s="16"/>
      <c r="W89" s="16"/>
      <c r="X89" s="16"/>
      <c r="Y89" s="16"/>
      <c r="AA89" s="408" t="s">
        <v>119</v>
      </c>
      <c r="AB89" s="408"/>
      <c r="AC89" s="408"/>
      <c r="AD89" s="408"/>
      <c r="AE89" s="408"/>
      <c r="AF89" s="16"/>
      <c r="AG89" s="16"/>
      <c r="AH89" s="16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Y89" s="403"/>
      <c r="AZ89" s="403"/>
    </row>
    <row r="90" spans="1:54" s="1" customFormat="1" ht="15.6" customHeight="1" x14ac:dyDescent="0.15">
      <c r="A90" s="49"/>
      <c r="B90" s="765" t="s">
        <v>70</v>
      </c>
      <c r="C90" s="766"/>
      <c r="D90" s="767"/>
      <c r="E90" s="765" t="s">
        <v>50</v>
      </c>
      <c r="F90" s="766"/>
      <c r="G90" s="766"/>
      <c r="H90" s="766"/>
      <c r="I90" s="767"/>
      <c r="J90" s="751" t="s">
        <v>133</v>
      </c>
      <c r="K90" s="752"/>
      <c r="L90" s="752"/>
      <c r="M90" s="752"/>
      <c r="N90" s="752"/>
      <c r="O90" s="752"/>
      <c r="P90" s="752"/>
      <c r="Q90" s="753"/>
      <c r="R90" s="751" t="s">
        <v>146</v>
      </c>
      <c r="S90" s="752"/>
      <c r="T90" s="752"/>
      <c r="U90" s="752"/>
      <c r="V90" s="752"/>
      <c r="W90" s="752"/>
      <c r="X90" s="752"/>
      <c r="Y90" s="753"/>
      <c r="Z90" s="751" t="s">
        <v>178</v>
      </c>
      <c r="AA90" s="752"/>
      <c r="AB90" s="752"/>
      <c r="AC90" s="752"/>
      <c r="AD90" s="752"/>
      <c r="AE90" s="752"/>
      <c r="AF90" s="752"/>
      <c r="AG90" s="753"/>
      <c r="AH90" s="16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Y90" s="403"/>
      <c r="AZ90" s="403"/>
    </row>
    <row r="91" spans="1:54" s="1" customFormat="1" ht="15.6" customHeight="1" x14ac:dyDescent="0.15">
      <c r="A91" s="49"/>
      <c r="B91" s="785"/>
      <c r="C91" s="786"/>
      <c r="D91" s="787"/>
      <c r="E91" s="785"/>
      <c r="F91" s="786"/>
      <c r="G91" s="786"/>
      <c r="H91" s="786"/>
      <c r="I91" s="787"/>
      <c r="J91" s="788" t="s">
        <v>51</v>
      </c>
      <c r="K91" s="788"/>
      <c r="L91" s="788"/>
      <c r="M91" s="788"/>
      <c r="N91" s="765" t="s">
        <v>30</v>
      </c>
      <c r="O91" s="766"/>
      <c r="P91" s="766"/>
      <c r="Q91" s="767"/>
      <c r="R91" s="788" t="s">
        <v>51</v>
      </c>
      <c r="S91" s="788"/>
      <c r="T91" s="788"/>
      <c r="U91" s="788"/>
      <c r="V91" s="765" t="s">
        <v>30</v>
      </c>
      <c r="W91" s="766"/>
      <c r="X91" s="766"/>
      <c r="Y91" s="767"/>
      <c r="Z91" s="788" t="s">
        <v>51</v>
      </c>
      <c r="AA91" s="788"/>
      <c r="AB91" s="788"/>
      <c r="AC91" s="788"/>
      <c r="AD91" s="765" t="s">
        <v>30</v>
      </c>
      <c r="AE91" s="766"/>
      <c r="AF91" s="766"/>
      <c r="AG91" s="767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Y91" s="403"/>
      <c r="AZ91" s="403"/>
    </row>
    <row r="92" spans="1:54" s="1" customFormat="1" ht="15.6" customHeight="1" x14ac:dyDescent="0.15">
      <c r="A92" s="52"/>
      <c r="B92" s="768" t="s">
        <v>74</v>
      </c>
      <c r="C92" s="769"/>
      <c r="D92" s="770"/>
      <c r="E92" s="777" t="s">
        <v>52</v>
      </c>
      <c r="F92" s="777"/>
      <c r="G92" s="777"/>
      <c r="H92" s="777"/>
      <c r="I92" s="777"/>
      <c r="J92" s="778">
        <v>193</v>
      </c>
      <c r="K92" s="778"/>
      <c r="L92" s="778"/>
      <c r="M92" s="778"/>
      <c r="N92" s="779">
        <f>J92/SUM(J92:M96)</f>
        <v>0.15990057995028997</v>
      </c>
      <c r="O92" s="779"/>
      <c r="P92" s="779"/>
      <c r="Q92" s="779"/>
      <c r="R92" s="780">
        <v>206</v>
      </c>
      <c r="S92" s="778"/>
      <c r="T92" s="778"/>
      <c r="U92" s="778"/>
      <c r="V92" s="779">
        <f>R92/V86</f>
        <v>0.18676337262012693</v>
      </c>
      <c r="W92" s="779"/>
      <c r="X92" s="779"/>
      <c r="Y92" s="779"/>
      <c r="Z92" s="781">
        <f>13+27+18+18+18+12+14+24+16</f>
        <v>160</v>
      </c>
      <c r="AA92" s="782"/>
      <c r="AB92" s="782"/>
      <c r="AC92" s="782"/>
      <c r="AD92" s="823">
        <f>Z92/AA86</f>
        <v>0.18823529411764706</v>
      </c>
      <c r="AE92" s="823"/>
      <c r="AF92" s="823"/>
      <c r="AG92" s="823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Y92" s="789"/>
      <c r="AZ92" s="789"/>
    </row>
    <row r="93" spans="1:54" s="1" customFormat="1" ht="15.6" customHeight="1" x14ac:dyDescent="0.15">
      <c r="A93" s="52"/>
      <c r="B93" s="771"/>
      <c r="C93" s="772"/>
      <c r="D93" s="773"/>
      <c r="E93" s="784" t="s">
        <v>53</v>
      </c>
      <c r="F93" s="784"/>
      <c r="G93" s="784"/>
      <c r="H93" s="784"/>
      <c r="I93" s="784"/>
      <c r="J93" s="790">
        <v>600</v>
      </c>
      <c r="K93" s="790"/>
      <c r="L93" s="790"/>
      <c r="M93" s="790"/>
      <c r="N93" s="791">
        <f>J93/SUM(J92:M96)</f>
        <v>0.4971002485501243</v>
      </c>
      <c r="O93" s="791"/>
      <c r="P93" s="791"/>
      <c r="Q93" s="791"/>
      <c r="R93" s="792">
        <v>391</v>
      </c>
      <c r="S93" s="790"/>
      <c r="T93" s="790"/>
      <c r="U93" s="790"/>
      <c r="V93" s="793">
        <f>R93/V86</f>
        <v>0.35448776065276516</v>
      </c>
      <c r="W93" s="794"/>
      <c r="X93" s="794"/>
      <c r="Y93" s="795"/>
      <c r="Z93" s="796">
        <f>42+50+26+32+39+40+51+37+36</f>
        <v>353</v>
      </c>
      <c r="AA93" s="797"/>
      <c r="AB93" s="797"/>
      <c r="AC93" s="797"/>
      <c r="AD93" s="783">
        <f>Z93/AA86</f>
        <v>0.41529411764705881</v>
      </c>
      <c r="AE93" s="783"/>
      <c r="AF93" s="783"/>
      <c r="AG93" s="783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Y93" s="789"/>
      <c r="AZ93" s="789"/>
    </row>
    <row r="94" spans="1:54" s="1" customFormat="1" ht="15.6" customHeight="1" x14ac:dyDescent="0.15">
      <c r="A94" s="52"/>
      <c r="B94" s="771"/>
      <c r="C94" s="772"/>
      <c r="D94" s="773"/>
      <c r="E94" s="784" t="s">
        <v>54</v>
      </c>
      <c r="F94" s="784"/>
      <c r="G94" s="784"/>
      <c r="H94" s="784"/>
      <c r="I94" s="784"/>
      <c r="J94" s="790">
        <v>20</v>
      </c>
      <c r="K94" s="790"/>
      <c r="L94" s="790"/>
      <c r="M94" s="790"/>
      <c r="N94" s="791">
        <f>J94/SUM(J92:M96)</f>
        <v>1.6570008285004142E-2</v>
      </c>
      <c r="O94" s="791"/>
      <c r="P94" s="791"/>
      <c r="Q94" s="791"/>
      <c r="R94" s="792">
        <v>15</v>
      </c>
      <c r="S94" s="790"/>
      <c r="T94" s="790"/>
      <c r="U94" s="790"/>
      <c r="V94" s="793">
        <f>R94/V86</f>
        <v>1.3599274705349048E-2</v>
      </c>
      <c r="W94" s="794"/>
      <c r="X94" s="794"/>
      <c r="Y94" s="795"/>
      <c r="Z94" s="796">
        <f>2+0+4+0+0+0+1+0+2</f>
        <v>9</v>
      </c>
      <c r="AA94" s="797"/>
      <c r="AB94" s="797"/>
      <c r="AC94" s="797"/>
      <c r="AD94" s="783">
        <f>Z94/AA86</f>
        <v>1.0588235294117647E-2</v>
      </c>
      <c r="AE94" s="783"/>
      <c r="AF94" s="783"/>
      <c r="AG94" s="783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Y94" s="789"/>
      <c r="AZ94" s="789"/>
    </row>
    <row r="95" spans="1:54" s="1" customFormat="1" ht="15.6" customHeight="1" x14ac:dyDescent="0.15">
      <c r="A95" s="52"/>
      <c r="B95" s="771"/>
      <c r="C95" s="772"/>
      <c r="D95" s="773"/>
      <c r="E95" s="798" t="s">
        <v>55</v>
      </c>
      <c r="F95" s="798"/>
      <c r="G95" s="798"/>
      <c r="H95" s="798"/>
      <c r="I95" s="798"/>
      <c r="J95" s="790">
        <v>0</v>
      </c>
      <c r="K95" s="790"/>
      <c r="L95" s="790"/>
      <c r="M95" s="790"/>
      <c r="N95" s="791">
        <f>J95/SUM(J92:M96)</f>
        <v>0</v>
      </c>
      <c r="O95" s="791"/>
      <c r="P95" s="791"/>
      <c r="Q95" s="791"/>
      <c r="R95" s="792">
        <v>0</v>
      </c>
      <c r="S95" s="790"/>
      <c r="T95" s="790"/>
      <c r="U95" s="790"/>
      <c r="V95" s="793">
        <v>0</v>
      </c>
      <c r="W95" s="794"/>
      <c r="X95" s="794"/>
      <c r="Y95" s="795"/>
      <c r="Z95" s="796">
        <f>0+0+0+0+0+0+0+0+0</f>
        <v>0</v>
      </c>
      <c r="AA95" s="797"/>
      <c r="AB95" s="797"/>
      <c r="AC95" s="797"/>
      <c r="AD95" s="783">
        <v>0</v>
      </c>
      <c r="AE95" s="783"/>
      <c r="AF95" s="783"/>
      <c r="AG95" s="783"/>
      <c r="AH95" s="13"/>
      <c r="AI95" s="16"/>
      <c r="AJ95" s="16"/>
      <c r="AK95" s="799"/>
      <c r="AL95" s="799"/>
      <c r="AM95" s="799"/>
      <c r="AN95" s="13"/>
      <c r="AO95" s="13"/>
      <c r="AP95" s="72"/>
      <c r="AQ95" s="72"/>
      <c r="AR95" s="72"/>
      <c r="AS95" s="72"/>
      <c r="AT95" s="72"/>
      <c r="AU95" s="72"/>
      <c r="AV95" s="73"/>
      <c r="AW95" s="73"/>
      <c r="AX95" s="73"/>
      <c r="AY95" s="789"/>
      <c r="AZ95" s="789"/>
      <c r="BA95" s="73"/>
    </row>
    <row r="96" spans="1:54" s="1" customFormat="1" ht="15.6" customHeight="1" x14ac:dyDescent="0.15">
      <c r="A96" s="52"/>
      <c r="B96" s="774"/>
      <c r="C96" s="775"/>
      <c r="D96" s="776"/>
      <c r="E96" s="805" t="s">
        <v>56</v>
      </c>
      <c r="F96" s="805"/>
      <c r="G96" s="805"/>
      <c r="H96" s="805"/>
      <c r="I96" s="805"/>
      <c r="J96" s="806">
        <v>394</v>
      </c>
      <c r="K96" s="806"/>
      <c r="L96" s="806"/>
      <c r="M96" s="806"/>
      <c r="N96" s="807">
        <v>0.32600000000000001</v>
      </c>
      <c r="O96" s="807"/>
      <c r="P96" s="807"/>
      <c r="Q96" s="807"/>
      <c r="R96" s="808">
        <v>491</v>
      </c>
      <c r="S96" s="806"/>
      <c r="T96" s="806"/>
      <c r="U96" s="806"/>
      <c r="V96" s="809">
        <f>R96/V86</f>
        <v>0.44514959202175886</v>
      </c>
      <c r="W96" s="810"/>
      <c r="X96" s="810"/>
      <c r="Y96" s="811"/>
      <c r="Z96" s="812">
        <f>20+45+32+31+46+41+36+46+31</f>
        <v>328</v>
      </c>
      <c r="AA96" s="813"/>
      <c r="AB96" s="813"/>
      <c r="AC96" s="813"/>
      <c r="AD96" s="783">
        <f>Z96/AA86</f>
        <v>0.38588235294117645</v>
      </c>
      <c r="AE96" s="783"/>
      <c r="AF96" s="783"/>
      <c r="AG96" s="783"/>
      <c r="AH96" s="13"/>
      <c r="AI96" s="13"/>
      <c r="AJ96" s="800"/>
      <c r="AK96" s="800"/>
      <c r="AL96" s="800"/>
      <c r="AM96" s="13"/>
      <c r="AN96" s="13"/>
      <c r="AO96" s="13"/>
      <c r="AP96" s="13"/>
      <c r="AQ96" s="13"/>
      <c r="AR96" s="13"/>
      <c r="AS96" s="13"/>
      <c r="AT96" s="13"/>
      <c r="AU96" s="13"/>
      <c r="AY96" s="789"/>
      <c r="AZ96" s="789"/>
      <c r="BA96" s="801"/>
      <c r="BB96" s="801"/>
    </row>
    <row r="97" spans="1:54" s="1" customFormat="1" ht="15.6" customHeight="1" x14ac:dyDescent="0.15">
      <c r="A97" s="52"/>
      <c r="B97" s="768" t="s">
        <v>75</v>
      </c>
      <c r="C97" s="769"/>
      <c r="D97" s="770"/>
      <c r="E97" s="777" t="s">
        <v>57</v>
      </c>
      <c r="F97" s="777"/>
      <c r="G97" s="777"/>
      <c r="H97" s="777"/>
      <c r="I97" s="777"/>
      <c r="J97" s="778">
        <v>113</v>
      </c>
      <c r="K97" s="778"/>
      <c r="L97" s="778"/>
      <c r="M97" s="778"/>
      <c r="N97" s="779">
        <f>J97/SUM(J97:M100)</f>
        <v>9.3620546810273403E-2</v>
      </c>
      <c r="O97" s="779"/>
      <c r="P97" s="779"/>
      <c r="Q97" s="779"/>
      <c r="R97" s="778">
        <v>86</v>
      </c>
      <c r="S97" s="778"/>
      <c r="T97" s="778"/>
      <c r="U97" s="778"/>
      <c r="V97" s="802">
        <f>R97/SUM(R97:U100)</f>
        <v>7.7969174977334549E-2</v>
      </c>
      <c r="W97" s="803"/>
      <c r="X97" s="803"/>
      <c r="Y97" s="804"/>
      <c r="Z97" s="782">
        <f>3+16+6+5+31+7+5+5+6</f>
        <v>84</v>
      </c>
      <c r="AA97" s="782"/>
      <c r="AB97" s="782"/>
      <c r="AC97" s="782"/>
      <c r="AD97" s="814">
        <f>Z97/AA86</f>
        <v>9.8823529411764699E-2</v>
      </c>
      <c r="AE97" s="814"/>
      <c r="AF97" s="814"/>
      <c r="AG97" s="814"/>
      <c r="AH97" s="13"/>
      <c r="AI97" s="13"/>
      <c r="AJ97" s="13"/>
      <c r="AK97" s="799"/>
      <c r="AL97" s="799"/>
      <c r="AM97" s="799"/>
      <c r="AN97" s="13"/>
      <c r="AO97" s="13"/>
      <c r="AP97" s="13"/>
      <c r="AQ97" s="13"/>
      <c r="AR97" s="13"/>
      <c r="AS97" s="13"/>
      <c r="AT97" s="13"/>
      <c r="AU97" s="13"/>
      <c r="AY97" s="789"/>
      <c r="AZ97" s="789"/>
    </row>
    <row r="98" spans="1:54" s="1" customFormat="1" ht="15.6" customHeight="1" x14ac:dyDescent="0.15">
      <c r="A98" s="52"/>
      <c r="B98" s="771"/>
      <c r="C98" s="772"/>
      <c r="D98" s="773"/>
      <c r="E98" s="784" t="s">
        <v>58</v>
      </c>
      <c r="F98" s="784"/>
      <c r="G98" s="784"/>
      <c r="H98" s="784"/>
      <c r="I98" s="784"/>
      <c r="J98" s="790">
        <v>62</v>
      </c>
      <c r="K98" s="790"/>
      <c r="L98" s="790"/>
      <c r="M98" s="790"/>
      <c r="N98" s="791">
        <f>J98/SUM(J97:M100)</f>
        <v>5.136702568351284E-2</v>
      </c>
      <c r="O98" s="791"/>
      <c r="P98" s="791"/>
      <c r="Q98" s="791"/>
      <c r="R98" s="790">
        <v>57</v>
      </c>
      <c r="S98" s="790"/>
      <c r="T98" s="790"/>
      <c r="U98" s="790"/>
      <c r="V98" s="793">
        <f>R98/SUM(R97:U100)</f>
        <v>5.1677243880326386E-2</v>
      </c>
      <c r="W98" s="794"/>
      <c r="X98" s="794"/>
      <c r="Y98" s="795"/>
      <c r="Z98" s="797">
        <f>2+2+7+5+4+2+5+1+2</f>
        <v>30</v>
      </c>
      <c r="AA98" s="797"/>
      <c r="AB98" s="797"/>
      <c r="AC98" s="797"/>
      <c r="AD98" s="783">
        <f>Z98/AA86</f>
        <v>3.5294117647058823E-2</v>
      </c>
      <c r="AE98" s="783"/>
      <c r="AF98" s="783"/>
      <c r="AG98" s="78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Y98" s="789"/>
      <c r="AZ98" s="789"/>
    </row>
    <row r="99" spans="1:54" s="3" customFormat="1" ht="15.6" customHeight="1" x14ac:dyDescent="0.15">
      <c r="A99" s="52"/>
      <c r="B99" s="771"/>
      <c r="C99" s="772"/>
      <c r="D99" s="773"/>
      <c r="E99" s="784" t="s">
        <v>59</v>
      </c>
      <c r="F99" s="784"/>
      <c r="G99" s="784"/>
      <c r="H99" s="784"/>
      <c r="I99" s="784"/>
      <c r="J99" s="790">
        <v>341</v>
      </c>
      <c r="K99" s="790"/>
      <c r="L99" s="790"/>
      <c r="M99" s="790"/>
      <c r="N99" s="791">
        <f>J99/SUM(J97:M100)</f>
        <v>0.28251864125932064</v>
      </c>
      <c r="O99" s="791"/>
      <c r="P99" s="791"/>
      <c r="Q99" s="791"/>
      <c r="R99" s="790">
        <v>361</v>
      </c>
      <c r="S99" s="790"/>
      <c r="T99" s="790"/>
      <c r="U99" s="790"/>
      <c r="V99" s="793">
        <f>R99/SUM(R97:U100)</f>
        <v>0.32728921124206711</v>
      </c>
      <c r="W99" s="794"/>
      <c r="X99" s="794"/>
      <c r="Y99" s="795"/>
      <c r="Z99" s="797">
        <f>21+36+30+21+9+34+20+40+25</f>
        <v>236</v>
      </c>
      <c r="AA99" s="797"/>
      <c r="AB99" s="797"/>
      <c r="AC99" s="797"/>
      <c r="AD99" s="783">
        <f>Z99/AA86</f>
        <v>0.27764705882352941</v>
      </c>
      <c r="AE99" s="783"/>
      <c r="AF99" s="783"/>
      <c r="AG99" s="78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4"/>
      <c r="AS99" s="14"/>
      <c r="AT99" s="14"/>
      <c r="AU99" s="14"/>
      <c r="AY99" s="789"/>
      <c r="AZ99" s="789"/>
    </row>
    <row r="100" spans="1:54" s="3" customFormat="1" ht="15.6" customHeight="1" x14ac:dyDescent="0.15">
      <c r="A100" s="52"/>
      <c r="B100" s="774"/>
      <c r="C100" s="775"/>
      <c r="D100" s="776"/>
      <c r="E100" s="805" t="s">
        <v>56</v>
      </c>
      <c r="F100" s="805"/>
      <c r="G100" s="805"/>
      <c r="H100" s="805"/>
      <c r="I100" s="805"/>
      <c r="J100" s="806">
        <v>691</v>
      </c>
      <c r="K100" s="806"/>
      <c r="L100" s="806"/>
      <c r="M100" s="806"/>
      <c r="N100" s="807">
        <f>J100/SUM(J97:M100)</f>
        <v>0.57249378624689318</v>
      </c>
      <c r="O100" s="807"/>
      <c r="P100" s="807"/>
      <c r="Q100" s="807"/>
      <c r="R100" s="806">
        <v>599</v>
      </c>
      <c r="S100" s="806"/>
      <c r="T100" s="806"/>
      <c r="U100" s="806"/>
      <c r="V100" s="809">
        <f>R100/SUM(R97:U100)</f>
        <v>0.54306436990027196</v>
      </c>
      <c r="W100" s="810"/>
      <c r="X100" s="810"/>
      <c r="Y100" s="811"/>
      <c r="Z100" s="813">
        <f>51+68+37+50+59+50+72+61+52</f>
        <v>500</v>
      </c>
      <c r="AA100" s="813"/>
      <c r="AB100" s="813"/>
      <c r="AC100" s="813"/>
      <c r="AD100" s="817">
        <v>0.58499999999999996</v>
      </c>
      <c r="AE100" s="817"/>
      <c r="AF100" s="817"/>
      <c r="AG100" s="817"/>
      <c r="AH100" s="13"/>
      <c r="AI100" s="13"/>
      <c r="AJ100" s="800"/>
      <c r="AK100" s="800"/>
      <c r="AL100" s="800"/>
      <c r="AM100" s="83"/>
      <c r="AN100" s="13"/>
      <c r="AO100" s="13"/>
      <c r="AP100" s="13"/>
      <c r="AQ100" s="13"/>
      <c r="AR100" s="14"/>
      <c r="AS100" s="14"/>
      <c r="AT100" s="14"/>
      <c r="AU100" s="14"/>
      <c r="AY100" s="789"/>
      <c r="AZ100" s="789"/>
      <c r="BA100" s="789"/>
      <c r="BB100" s="789"/>
    </row>
    <row r="101" spans="1:54" s="3" customFormat="1" ht="15.6" customHeight="1" x14ac:dyDescent="0.15">
      <c r="A101" s="55"/>
      <c r="Y101" s="2"/>
      <c r="Z101" s="2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4"/>
      <c r="AS101" s="14"/>
      <c r="AT101" s="14"/>
      <c r="AU101" s="14"/>
      <c r="AY101" s="79"/>
      <c r="AZ101" s="79"/>
    </row>
    <row r="102" spans="1:54" s="3" customFormat="1" ht="15.6" customHeight="1" x14ac:dyDescent="0.15">
      <c r="A102" s="55" t="s">
        <v>1</v>
      </c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AG102" s="4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4"/>
      <c r="AS102" s="14"/>
      <c r="AT102" s="14"/>
      <c r="AU102" s="14"/>
      <c r="AY102" s="79"/>
      <c r="AZ102" s="79"/>
    </row>
    <row r="103" spans="1:54" s="3" customFormat="1" ht="15.6" customHeight="1" x14ac:dyDescent="0.15">
      <c r="A103" s="50" t="s">
        <v>176</v>
      </c>
      <c r="AG103" s="4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4"/>
      <c r="AS103" s="14"/>
      <c r="AT103" s="14"/>
      <c r="AU103" s="14"/>
      <c r="AY103" s="79"/>
      <c r="AZ103" s="79"/>
    </row>
    <row r="104" spans="1:54" s="3" customFormat="1" ht="15.6" customHeight="1" x14ac:dyDescent="0.15">
      <c r="A104" s="55"/>
      <c r="B104" s="595" t="s">
        <v>14</v>
      </c>
      <c r="C104" s="595"/>
      <c r="D104" s="595" t="s">
        <v>15</v>
      </c>
      <c r="E104" s="595"/>
      <c r="F104" s="595"/>
      <c r="G104" s="595"/>
      <c r="H104" s="595"/>
      <c r="I104" s="595" t="s">
        <v>16</v>
      </c>
      <c r="J104" s="595"/>
      <c r="K104" s="595"/>
      <c r="L104" s="595"/>
      <c r="M104" s="595"/>
      <c r="N104" s="595" t="s">
        <v>17</v>
      </c>
      <c r="O104" s="595"/>
      <c r="P104" s="595"/>
      <c r="Q104" s="595"/>
      <c r="R104" s="595"/>
      <c r="S104" s="595" t="s">
        <v>18</v>
      </c>
      <c r="T104" s="595"/>
      <c r="U104" s="595"/>
      <c r="V104" s="595"/>
      <c r="W104" s="595"/>
      <c r="X104" s="595" t="s">
        <v>19</v>
      </c>
      <c r="Y104" s="595"/>
      <c r="Z104" s="595"/>
      <c r="AA104" s="595"/>
      <c r="AB104" s="595"/>
      <c r="AC104" s="595" t="s">
        <v>20</v>
      </c>
      <c r="AD104" s="595"/>
      <c r="AE104" s="595"/>
      <c r="AF104" s="595"/>
      <c r="AG104" s="7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Y104" s="79"/>
      <c r="AZ104" s="79"/>
    </row>
    <row r="105" spans="1:54" ht="15.6" customHeight="1" x14ac:dyDescent="0.15">
      <c r="A105" s="52"/>
      <c r="B105" s="815" t="s">
        <v>9</v>
      </c>
      <c r="C105" s="815"/>
      <c r="D105" s="816">
        <v>46</v>
      </c>
      <c r="E105" s="816"/>
      <c r="F105" s="816"/>
      <c r="G105" s="816"/>
      <c r="H105" s="816"/>
      <c r="I105" s="816">
        <v>2</v>
      </c>
      <c r="J105" s="816"/>
      <c r="K105" s="816"/>
      <c r="L105" s="816"/>
      <c r="M105" s="816"/>
      <c r="N105" s="816">
        <v>0</v>
      </c>
      <c r="O105" s="816"/>
      <c r="P105" s="816"/>
      <c r="Q105" s="816"/>
      <c r="R105" s="816"/>
      <c r="S105" s="816">
        <v>43</v>
      </c>
      <c r="T105" s="816"/>
      <c r="U105" s="816"/>
      <c r="V105" s="816"/>
      <c r="W105" s="816"/>
      <c r="X105" s="816">
        <v>19</v>
      </c>
      <c r="Y105" s="816"/>
      <c r="Z105" s="816"/>
      <c r="AA105" s="816"/>
      <c r="AB105" s="816"/>
      <c r="AC105" s="816">
        <f>S105-X105</f>
        <v>24</v>
      </c>
      <c r="AD105" s="816"/>
      <c r="AE105" s="816"/>
      <c r="AF105" s="816"/>
    </row>
    <row r="106" spans="1:54" s="7" customFormat="1" ht="15.6" customHeight="1" x14ac:dyDescent="0.15">
      <c r="A106" s="18" t="s">
        <v>216</v>
      </c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Y106" s="80"/>
      <c r="AZ106" s="80"/>
    </row>
    <row r="107" spans="1:54" ht="15.6" customHeight="1" x14ac:dyDescent="0.15">
      <c r="A107" s="55"/>
      <c r="B107" s="764" t="s">
        <v>14</v>
      </c>
      <c r="C107" s="764"/>
      <c r="D107" s="764" t="s">
        <v>15</v>
      </c>
      <c r="E107" s="764"/>
      <c r="F107" s="764"/>
      <c r="G107" s="764"/>
      <c r="H107" s="764"/>
      <c r="I107" s="764" t="s">
        <v>16</v>
      </c>
      <c r="J107" s="764"/>
      <c r="K107" s="764"/>
      <c r="L107" s="764"/>
      <c r="M107" s="764"/>
      <c r="N107" s="764" t="s">
        <v>17</v>
      </c>
      <c r="O107" s="764"/>
      <c r="P107" s="764"/>
      <c r="Q107" s="764"/>
      <c r="R107" s="764"/>
      <c r="S107" s="763" t="s">
        <v>18</v>
      </c>
      <c r="T107" s="763"/>
      <c r="U107" s="763"/>
      <c r="V107" s="763"/>
      <c r="W107" s="763"/>
      <c r="X107" s="763" t="s">
        <v>19</v>
      </c>
      <c r="Y107" s="763"/>
      <c r="Z107" s="763"/>
      <c r="AA107" s="763"/>
      <c r="AB107" s="763"/>
      <c r="AC107" s="763" t="s">
        <v>20</v>
      </c>
      <c r="AD107" s="763"/>
      <c r="AE107" s="763"/>
      <c r="AF107" s="763"/>
    </row>
    <row r="108" spans="1:54" s="7" customFormat="1" ht="15.6" customHeight="1" x14ac:dyDescent="0.15">
      <c r="A108" s="13"/>
      <c r="B108" s="818" t="s">
        <v>9</v>
      </c>
      <c r="C108" s="818"/>
      <c r="D108" s="750">
        <f>1+4+5+1+5+5+6+1+2</f>
        <v>30</v>
      </c>
      <c r="E108" s="750"/>
      <c r="F108" s="750"/>
      <c r="G108" s="750"/>
      <c r="H108" s="750"/>
      <c r="I108" s="750">
        <f>0+0+1+0+0+0+1+0+0</f>
        <v>2</v>
      </c>
      <c r="J108" s="750"/>
      <c r="K108" s="750"/>
      <c r="L108" s="750"/>
      <c r="M108" s="750"/>
      <c r="N108" s="750">
        <f>0+0+0+0+2+0+3+1+1</f>
        <v>7</v>
      </c>
      <c r="O108" s="750"/>
      <c r="P108" s="750"/>
      <c r="Q108" s="750"/>
      <c r="R108" s="750"/>
      <c r="S108" s="746">
        <f>3+3+0+3+3+2+4+1+2</f>
        <v>21</v>
      </c>
      <c r="T108" s="746"/>
      <c r="U108" s="746"/>
      <c r="V108" s="746"/>
      <c r="W108" s="746"/>
      <c r="X108" s="746">
        <f>0+6+1+2+1+2+4+4+6</f>
        <v>26</v>
      </c>
      <c r="Y108" s="746"/>
      <c r="Z108" s="746"/>
      <c r="AA108" s="746"/>
      <c r="AB108" s="746"/>
      <c r="AC108" s="746">
        <f>S108-X108</f>
        <v>-5</v>
      </c>
      <c r="AD108" s="746"/>
      <c r="AE108" s="746"/>
      <c r="AF108" s="746"/>
      <c r="AY108" s="80"/>
      <c r="AZ108" s="80"/>
    </row>
    <row r="110" spans="1:54" ht="15.6" customHeight="1" x14ac:dyDescent="0.15">
      <c r="I110" s="820"/>
      <c r="J110" s="819"/>
      <c r="K110" s="819"/>
      <c r="L110" s="819"/>
      <c r="S110" s="820"/>
      <c r="T110" s="819"/>
      <c r="U110" s="819"/>
      <c r="V110" s="819"/>
      <c r="Z110" s="820"/>
      <c r="AA110" s="819"/>
      <c r="AB110" s="819"/>
      <c r="AC110" s="819"/>
    </row>
    <row r="111" spans="1:54" ht="15.6" customHeight="1" x14ac:dyDescent="0.15">
      <c r="D111" s="19"/>
      <c r="I111" s="819"/>
      <c r="J111" s="819"/>
      <c r="K111" s="819"/>
      <c r="L111" s="819"/>
      <c r="M111" s="819"/>
      <c r="N111" s="821"/>
      <c r="O111" s="821"/>
      <c r="P111" s="821"/>
      <c r="Q111" s="821"/>
      <c r="R111" s="819"/>
      <c r="S111" s="819"/>
      <c r="T111" s="819"/>
      <c r="U111" s="819"/>
      <c r="Z111" s="819"/>
      <c r="AA111" s="819"/>
      <c r="AB111" s="819"/>
      <c r="AC111" s="819"/>
    </row>
    <row r="112" spans="1:54" ht="15.6" customHeight="1" x14ac:dyDescent="0.15">
      <c r="I112" s="819"/>
      <c r="J112" s="819"/>
      <c r="K112" s="819"/>
      <c r="L112" s="819"/>
      <c r="M112" s="819"/>
      <c r="N112" s="819"/>
      <c r="O112" s="819"/>
      <c r="P112" s="819"/>
      <c r="Q112" s="819"/>
      <c r="R112" s="819"/>
      <c r="S112" s="819"/>
      <c r="T112" s="819"/>
      <c r="U112" s="819"/>
      <c r="Z112" s="819"/>
      <c r="AA112" s="819"/>
      <c r="AB112" s="819"/>
      <c r="AC112" s="819"/>
    </row>
    <row r="113" spans="4:29" ht="15.6" customHeight="1" x14ac:dyDescent="0.15">
      <c r="D113" s="19"/>
      <c r="I113" s="819"/>
      <c r="J113" s="819"/>
      <c r="K113" s="819"/>
      <c r="L113" s="819"/>
      <c r="M113" s="819"/>
      <c r="N113" s="819"/>
      <c r="O113" s="819"/>
      <c r="P113" s="819"/>
      <c r="Q113" s="819"/>
      <c r="R113" s="819"/>
      <c r="S113" s="819"/>
      <c r="T113" s="819"/>
      <c r="U113" s="819"/>
      <c r="Z113" s="819"/>
      <c r="AA113" s="819"/>
      <c r="AB113" s="819"/>
      <c r="AC113" s="819"/>
    </row>
  </sheetData>
  <mergeCells count="482">
    <mergeCell ref="I112:M112"/>
    <mergeCell ref="N112:Q112"/>
    <mergeCell ref="R112:U112"/>
    <mergeCell ref="Z112:AC112"/>
    <mergeCell ref="I113:M113"/>
    <mergeCell ref="N113:Q113"/>
    <mergeCell ref="R113:U113"/>
    <mergeCell ref="Z113:AC113"/>
    <mergeCell ref="I110:L110"/>
    <mergeCell ref="S110:V110"/>
    <mergeCell ref="Z110:AC110"/>
    <mergeCell ref="I111:M111"/>
    <mergeCell ref="N111:Q111"/>
    <mergeCell ref="R111:U111"/>
    <mergeCell ref="Z111:AC111"/>
    <mergeCell ref="B108:C108"/>
    <mergeCell ref="D108:H108"/>
    <mergeCell ref="I108:M108"/>
    <mergeCell ref="N108:R108"/>
    <mergeCell ref="S108:W108"/>
    <mergeCell ref="X108:AB108"/>
    <mergeCell ref="AC108:AF108"/>
    <mergeCell ref="B107:C107"/>
    <mergeCell ref="D107:H107"/>
    <mergeCell ref="I107:M107"/>
    <mergeCell ref="N107:R107"/>
    <mergeCell ref="S107:W107"/>
    <mergeCell ref="X107:AB107"/>
    <mergeCell ref="B105:C105"/>
    <mergeCell ref="D105:H105"/>
    <mergeCell ref="I105:M105"/>
    <mergeCell ref="N105:R105"/>
    <mergeCell ref="S105:W105"/>
    <mergeCell ref="X105:AB105"/>
    <mergeCell ref="AC105:AF105"/>
    <mergeCell ref="AD100:AG100"/>
    <mergeCell ref="AC107:AF107"/>
    <mergeCell ref="AJ100:AL100"/>
    <mergeCell ref="AY100:AZ100"/>
    <mergeCell ref="BA100:BB100"/>
    <mergeCell ref="B104:C104"/>
    <mergeCell ref="D104:H104"/>
    <mergeCell ref="I104:M104"/>
    <mergeCell ref="N104:R104"/>
    <mergeCell ref="S104:W104"/>
    <mergeCell ref="X104:AB104"/>
    <mergeCell ref="E100:I100"/>
    <mergeCell ref="J100:M100"/>
    <mergeCell ref="N100:Q100"/>
    <mergeCell ref="R100:U100"/>
    <mergeCell ref="V100:Y100"/>
    <mergeCell ref="Z100:AC100"/>
    <mergeCell ref="AC104:AF104"/>
    <mergeCell ref="Z98:AC98"/>
    <mergeCell ref="AD98:AG98"/>
    <mergeCell ref="AY98:AZ98"/>
    <mergeCell ref="E99:I99"/>
    <mergeCell ref="J99:M99"/>
    <mergeCell ref="N99:Q99"/>
    <mergeCell ref="R99:U99"/>
    <mergeCell ref="V99:Y99"/>
    <mergeCell ref="Z99:AC99"/>
    <mergeCell ref="AD99:AG99"/>
    <mergeCell ref="AY99:AZ99"/>
    <mergeCell ref="AJ96:AL96"/>
    <mergeCell ref="AY96:AZ96"/>
    <mergeCell ref="BA96:BB96"/>
    <mergeCell ref="B97:D100"/>
    <mergeCell ref="E97:I97"/>
    <mergeCell ref="J97:M97"/>
    <mergeCell ref="N97:Q97"/>
    <mergeCell ref="R97:U97"/>
    <mergeCell ref="V97:Y97"/>
    <mergeCell ref="E96:I96"/>
    <mergeCell ref="J96:M96"/>
    <mergeCell ref="N96:Q96"/>
    <mergeCell ref="R96:U96"/>
    <mergeCell ref="V96:Y96"/>
    <mergeCell ref="Z96:AC96"/>
    <mergeCell ref="Z97:AC97"/>
    <mergeCell ref="AD97:AG97"/>
    <mergeCell ref="AK97:AM97"/>
    <mergeCell ref="AY97:AZ97"/>
    <mergeCell ref="E98:I98"/>
    <mergeCell ref="J98:M98"/>
    <mergeCell ref="N98:Q98"/>
    <mergeCell ref="R98:U98"/>
    <mergeCell ref="V98:Y98"/>
    <mergeCell ref="AY94:AZ94"/>
    <mergeCell ref="E95:I95"/>
    <mergeCell ref="J95:M95"/>
    <mergeCell ref="N95:Q95"/>
    <mergeCell ref="R95:U95"/>
    <mergeCell ref="V95:Y95"/>
    <mergeCell ref="Z95:AC95"/>
    <mergeCell ref="AD95:AG95"/>
    <mergeCell ref="AK95:AM95"/>
    <mergeCell ref="AY95:AZ95"/>
    <mergeCell ref="J94:M94"/>
    <mergeCell ref="N94:Q94"/>
    <mergeCell ref="R94:U94"/>
    <mergeCell ref="V94:Y94"/>
    <mergeCell ref="Z94:AC94"/>
    <mergeCell ref="AD94:AG94"/>
    <mergeCell ref="AY92:AZ92"/>
    <mergeCell ref="E93:I93"/>
    <mergeCell ref="J93:M93"/>
    <mergeCell ref="N93:Q93"/>
    <mergeCell ref="R93:U93"/>
    <mergeCell ref="V93:Y93"/>
    <mergeCell ref="Z93:AC93"/>
    <mergeCell ref="AD93:AG93"/>
    <mergeCell ref="AY93:AZ93"/>
    <mergeCell ref="AD91:AG91"/>
    <mergeCell ref="B92:D96"/>
    <mergeCell ref="E92:I92"/>
    <mergeCell ref="J92:M92"/>
    <mergeCell ref="N92:Q92"/>
    <mergeCell ref="R92:U92"/>
    <mergeCell ref="V92:Y92"/>
    <mergeCell ref="Z92:AC92"/>
    <mergeCell ref="AD92:AG92"/>
    <mergeCell ref="E94:I94"/>
    <mergeCell ref="B90:D91"/>
    <mergeCell ref="E90:I91"/>
    <mergeCell ref="J90:Q90"/>
    <mergeCell ref="R90:Y90"/>
    <mergeCell ref="Z90:AG90"/>
    <mergeCell ref="J91:M91"/>
    <mergeCell ref="N91:Q91"/>
    <mergeCell ref="R91:U91"/>
    <mergeCell ref="V91:Y91"/>
    <mergeCell ref="Z91:AC91"/>
    <mergeCell ref="AD96:AG96"/>
    <mergeCell ref="AI86:AK86"/>
    <mergeCell ref="B87:F87"/>
    <mergeCell ref="G87:K87"/>
    <mergeCell ref="L87:P87"/>
    <mergeCell ref="Q87:U87"/>
    <mergeCell ref="V87:Z87"/>
    <mergeCell ref="AA87:AE87"/>
    <mergeCell ref="AA85:AE85"/>
    <mergeCell ref="B86:F86"/>
    <mergeCell ref="G86:K86"/>
    <mergeCell ref="L86:P86"/>
    <mergeCell ref="Q86:U86"/>
    <mergeCell ref="V86:Z86"/>
    <mergeCell ref="AA86:AE86"/>
    <mergeCell ref="B82:G82"/>
    <mergeCell ref="H82:M82"/>
    <mergeCell ref="N82:S82"/>
    <mergeCell ref="T82:Y82"/>
    <mergeCell ref="Z82:AG82"/>
    <mergeCell ref="B85:F85"/>
    <mergeCell ref="G85:K85"/>
    <mergeCell ref="L85:P85"/>
    <mergeCell ref="Q85:U85"/>
    <mergeCell ref="V85:Z85"/>
    <mergeCell ref="B80:G80"/>
    <mergeCell ref="H80:M80"/>
    <mergeCell ref="N80:S80"/>
    <mergeCell ref="T80:Y80"/>
    <mergeCell ref="Z80:AG80"/>
    <mergeCell ref="B81:G81"/>
    <mergeCell ref="H81:M81"/>
    <mergeCell ref="N81:S81"/>
    <mergeCell ref="T81:Y81"/>
    <mergeCell ref="Z81:AG81"/>
    <mergeCell ref="B78:G78"/>
    <mergeCell ref="H78:M78"/>
    <mergeCell ref="N78:S78"/>
    <mergeCell ref="T78:Y78"/>
    <mergeCell ref="Z78:AG78"/>
    <mergeCell ref="B79:G79"/>
    <mergeCell ref="H79:M79"/>
    <mergeCell ref="N79:S79"/>
    <mergeCell ref="T79:Y79"/>
    <mergeCell ref="Z79:AG79"/>
    <mergeCell ref="H71:J72"/>
    <mergeCell ref="K71:L72"/>
    <mergeCell ref="M71:N72"/>
    <mergeCell ref="O71:Q72"/>
    <mergeCell ref="X73:Y73"/>
    <mergeCell ref="Z73:AB73"/>
    <mergeCell ref="AC73:AD73"/>
    <mergeCell ref="AE73:AG73"/>
    <mergeCell ref="B76:G77"/>
    <mergeCell ref="H76:Y76"/>
    <mergeCell ref="Z76:AG77"/>
    <mergeCell ref="H77:M77"/>
    <mergeCell ref="N77:S77"/>
    <mergeCell ref="T77:Y77"/>
    <mergeCell ref="AQ67:AR67"/>
    <mergeCell ref="AQ68:AR68"/>
    <mergeCell ref="V67:W68"/>
    <mergeCell ref="X67:Y68"/>
    <mergeCell ref="Z67:AB68"/>
    <mergeCell ref="AC67:AD68"/>
    <mergeCell ref="AE71:AG72"/>
    <mergeCell ref="B73:D73"/>
    <mergeCell ref="E73:G73"/>
    <mergeCell ref="H73:J73"/>
    <mergeCell ref="K73:L73"/>
    <mergeCell ref="M73:N73"/>
    <mergeCell ref="O73:Q73"/>
    <mergeCell ref="R73:S73"/>
    <mergeCell ref="T73:U73"/>
    <mergeCell ref="V73:W73"/>
    <mergeCell ref="R71:S72"/>
    <mergeCell ref="T71:U72"/>
    <mergeCell ref="V71:W72"/>
    <mergeCell ref="X71:Y72"/>
    <mergeCell ref="Z71:AB72"/>
    <mergeCell ref="AC71:AD72"/>
    <mergeCell ref="B71:D72"/>
    <mergeCell ref="E71:G72"/>
    <mergeCell ref="AQ63:AR63"/>
    <mergeCell ref="AQ64:AR64"/>
    <mergeCell ref="B69:D70"/>
    <mergeCell ref="E69:G70"/>
    <mergeCell ref="H69:J70"/>
    <mergeCell ref="K69:L70"/>
    <mergeCell ref="M69:N70"/>
    <mergeCell ref="O69:Q70"/>
    <mergeCell ref="R69:S70"/>
    <mergeCell ref="R67:S68"/>
    <mergeCell ref="T67:U68"/>
    <mergeCell ref="B67:D68"/>
    <mergeCell ref="E67:G68"/>
    <mergeCell ref="H67:J68"/>
    <mergeCell ref="K67:L68"/>
    <mergeCell ref="M67:N68"/>
    <mergeCell ref="O67:Q68"/>
    <mergeCell ref="T69:U70"/>
    <mergeCell ref="V69:W70"/>
    <mergeCell ref="X69:Y70"/>
    <mergeCell ref="Z69:AB70"/>
    <mergeCell ref="AC69:AD70"/>
    <mergeCell ref="AE69:AG70"/>
    <mergeCell ref="AE67:AG68"/>
    <mergeCell ref="B65:D66"/>
    <mergeCell ref="E65:G66"/>
    <mergeCell ref="H65:J66"/>
    <mergeCell ref="K65:L66"/>
    <mergeCell ref="M65:N66"/>
    <mergeCell ref="O65:Q66"/>
    <mergeCell ref="R65:S66"/>
    <mergeCell ref="T65:U66"/>
    <mergeCell ref="AQ61:AR61"/>
    <mergeCell ref="F62:I62"/>
    <mergeCell ref="J62:M62"/>
    <mergeCell ref="N62:Q62"/>
    <mergeCell ref="R62:U62"/>
    <mergeCell ref="V62:Y62"/>
    <mergeCell ref="Z62:AC62"/>
    <mergeCell ref="AD62:AG62"/>
    <mergeCell ref="AQ62:AR62"/>
    <mergeCell ref="V65:W66"/>
    <mergeCell ref="X65:Y66"/>
    <mergeCell ref="Z65:AB66"/>
    <mergeCell ref="AC65:AD66"/>
    <mergeCell ref="AE65:AG66"/>
    <mergeCell ref="AQ65:AR65"/>
    <mergeCell ref="AQ66:AR66"/>
    <mergeCell ref="V58:Y58"/>
    <mergeCell ref="Z58:AC58"/>
    <mergeCell ref="AD58:AG58"/>
    <mergeCell ref="B61:E62"/>
    <mergeCell ref="F61:I61"/>
    <mergeCell ref="J61:M61"/>
    <mergeCell ref="N61:Q61"/>
    <mergeCell ref="R61:U61"/>
    <mergeCell ref="V61:Y61"/>
    <mergeCell ref="Z61:AC61"/>
    <mergeCell ref="AD61:AG61"/>
    <mergeCell ref="F60:I60"/>
    <mergeCell ref="J60:M60"/>
    <mergeCell ref="N60:Q60"/>
    <mergeCell ref="R60:U60"/>
    <mergeCell ref="V60:Y60"/>
    <mergeCell ref="Z60:AC60"/>
    <mergeCell ref="F57:I57"/>
    <mergeCell ref="J57:M57"/>
    <mergeCell ref="N57:Q57"/>
    <mergeCell ref="R57:U57"/>
    <mergeCell ref="V57:Y57"/>
    <mergeCell ref="Z57:AC57"/>
    <mergeCell ref="AQ58:AR58"/>
    <mergeCell ref="B59:E60"/>
    <mergeCell ref="F59:I59"/>
    <mergeCell ref="J59:M59"/>
    <mergeCell ref="N59:Q59"/>
    <mergeCell ref="R59:U59"/>
    <mergeCell ref="V59:Y59"/>
    <mergeCell ref="Z59:AC59"/>
    <mergeCell ref="AD59:AG59"/>
    <mergeCell ref="AQ59:AR59"/>
    <mergeCell ref="B57:E58"/>
    <mergeCell ref="AD60:AG60"/>
    <mergeCell ref="AQ60:AR60"/>
    <mergeCell ref="AD57:AG57"/>
    <mergeCell ref="F58:I58"/>
    <mergeCell ref="J58:M58"/>
    <mergeCell ref="N58:Q58"/>
    <mergeCell ref="R58:U58"/>
    <mergeCell ref="W48:X48"/>
    <mergeCell ref="AC48:AD48"/>
    <mergeCell ref="D49:G49"/>
    <mergeCell ref="W49:X49"/>
    <mergeCell ref="AC49:AD49"/>
    <mergeCell ref="B56:E56"/>
    <mergeCell ref="F56:I56"/>
    <mergeCell ref="J56:M56"/>
    <mergeCell ref="N56:Q56"/>
    <mergeCell ref="R56:U56"/>
    <mergeCell ref="B39:C49"/>
    <mergeCell ref="D39:F39"/>
    <mergeCell ref="G39:H39"/>
    <mergeCell ref="L39:M39"/>
    <mergeCell ref="Q39:R39"/>
    <mergeCell ref="W39:X39"/>
    <mergeCell ref="AC39:AD39"/>
    <mergeCell ref="V56:Y56"/>
    <mergeCell ref="Z56:AC56"/>
    <mergeCell ref="AD56:AG56"/>
    <mergeCell ref="W45:X45"/>
    <mergeCell ref="AC45:AD45"/>
    <mergeCell ref="W46:X46"/>
    <mergeCell ref="AC46:AD46"/>
    <mergeCell ref="W47:X47"/>
    <mergeCell ref="AC47:AD47"/>
    <mergeCell ref="D43:G43"/>
    <mergeCell ref="Q43:R43"/>
    <mergeCell ref="W43:X43"/>
    <mergeCell ref="AC43:AD43"/>
    <mergeCell ref="W44:X44"/>
    <mergeCell ref="AC44:AD44"/>
    <mergeCell ref="AJ39:AM39"/>
    <mergeCell ref="D40:G40"/>
    <mergeCell ref="AJ41:AM41"/>
    <mergeCell ref="D42:G42"/>
    <mergeCell ref="L42:M42"/>
    <mergeCell ref="Q42:R42"/>
    <mergeCell ref="W42:X42"/>
    <mergeCell ref="AC42:AD42"/>
    <mergeCell ref="L40:M40"/>
    <mergeCell ref="Q40:R40"/>
    <mergeCell ref="W40:X40"/>
    <mergeCell ref="AC40:AD40"/>
    <mergeCell ref="D41:G41"/>
    <mergeCell ref="L41:M41"/>
    <mergeCell ref="Q41:R41"/>
    <mergeCell ref="W41:X41"/>
    <mergeCell ref="AC41:AD41"/>
    <mergeCell ref="AE37:AG37"/>
    <mergeCell ref="B38:C38"/>
    <mergeCell ref="D38:H38"/>
    <mergeCell ref="I38:M38"/>
    <mergeCell ref="N38:R38"/>
    <mergeCell ref="S38:X38"/>
    <mergeCell ref="Y38:AD38"/>
    <mergeCell ref="AE38:AG38"/>
    <mergeCell ref="AJ38:AM38"/>
    <mergeCell ref="W34:X34"/>
    <mergeCell ref="AC34:AD34"/>
    <mergeCell ref="D35:G35"/>
    <mergeCell ref="W35:X35"/>
    <mergeCell ref="AC35:AD35"/>
    <mergeCell ref="B37:C37"/>
    <mergeCell ref="D37:H37"/>
    <mergeCell ref="I37:M37"/>
    <mergeCell ref="N37:R37"/>
    <mergeCell ref="S37:X37"/>
    <mergeCell ref="B25:C35"/>
    <mergeCell ref="Y37:AD37"/>
    <mergeCell ref="W31:X31"/>
    <mergeCell ref="AC31:AD31"/>
    <mergeCell ref="W32:X32"/>
    <mergeCell ref="AC32:AD32"/>
    <mergeCell ref="W33:X33"/>
    <mergeCell ref="AC33:AD33"/>
    <mergeCell ref="D29:G29"/>
    <mergeCell ref="Q29:R29"/>
    <mergeCell ref="W29:X29"/>
    <mergeCell ref="AC29:AD29"/>
    <mergeCell ref="W30:X30"/>
    <mergeCell ref="AC30:AD30"/>
    <mergeCell ref="D28:G28"/>
    <mergeCell ref="L28:M28"/>
    <mergeCell ref="Q28:R28"/>
    <mergeCell ref="W28:X28"/>
    <mergeCell ref="AC28:AD28"/>
    <mergeCell ref="AC25:AD25"/>
    <mergeCell ref="D26:G26"/>
    <mergeCell ref="L26:M26"/>
    <mergeCell ref="Q26:R26"/>
    <mergeCell ref="W26:X26"/>
    <mergeCell ref="AC26:AD26"/>
    <mergeCell ref="D25:F25"/>
    <mergeCell ref="G25:H25"/>
    <mergeCell ref="L25:M25"/>
    <mergeCell ref="Q25:R25"/>
    <mergeCell ref="W25:X25"/>
    <mergeCell ref="D27:G27"/>
    <mergeCell ref="L27:M27"/>
    <mergeCell ref="Q27:R27"/>
    <mergeCell ref="W27:X27"/>
    <mergeCell ref="AE23:AG23"/>
    <mergeCell ref="B24:C24"/>
    <mergeCell ref="D24:H24"/>
    <mergeCell ref="I24:M24"/>
    <mergeCell ref="N24:R24"/>
    <mergeCell ref="S24:X24"/>
    <mergeCell ref="Y24:AD24"/>
    <mergeCell ref="AE24:AG24"/>
    <mergeCell ref="AC27:AD27"/>
    <mergeCell ref="D19:H19"/>
    <mergeCell ref="I19:M19"/>
    <mergeCell ref="N19:R19"/>
    <mergeCell ref="B23:C23"/>
    <mergeCell ref="D23:H23"/>
    <mergeCell ref="I23:M23"/>
    <mergeCell ref="N23:R23"/>
    <mergeCell ref="AH17:AK17"/>
    <mergeCell ref="AX17:AY17"/>
    <mergeCell ref="B18:H18"/>
    <mergeCell ref="I18:M18"/>
    <mergeCell ref="N18:R18"/>
    <mergeCell ref="S18:W18"/>
    <mergeCell ref="X18:AA18"/>
    <mergeCell ref="AC18:AG18"/>
    <mergeCell ref="AH18:AK18"/>
    <mergeCell ref="B17:H17"/>
    <mergeCell ref="I17:M17"/>
    <mergeCell ref="N17:R17"/>
    <mergeCell ref="S17:W17"/>
    <mergeCell ref="X17:AA17"/>
    <mergeCell ref="AC17:AG17"/>
    <mergeCell ref="S23:X23"/>
    <mergeCell ref="Y23:AD23"/>
    <mergeCell ref="AH15:AK15"/>
    <mergeCell ref="B16:H16"/>
    <mergeCell ref="I16:M16"/>
    <mergeCell ref="N16:R16"/>
    <mergeCell ref="S16:W16"/>
    <mergeCell ref="X16:AA16"/>
    <mergeCell ref="AC16:AG16"/>
    <mergeCell ref="AH16:AK16"/>
    <mergeCell ref="B15:H15"/>
    <mergeCell ref="I15:M15"/>
    <mergeCell ref="N15:R15"/>
    <mergeCell ref="S15:W15"/>
    <mergeCell ref="X15:AA15"/>
    <mergeCell ref="AC15:AG15"/>
    <mergeCell ref="AH13:AK13"/>
    <mergeCell ref="I14:M14"/>
    <mergeCell ref="N14:R14"/>
    <mergeCell ref="S14:W14"/>
    <mergeCell ref="X14:AA14"/>
    <mergeCell ref="AC14:AG14"/>
    <mergeCell ref="AH14:AK14"/>
    <mergeCell ref="Y11:AA11"/>
    <mergeCell ref="AC11:AG12"/>
    <mergeCell ref="Y12:AA12"/>
    <mergeCell ref="I13:M13"/>
    <mergeCell ref="N13:R13"/>
    <mergeCell ref="S13:W13"/>
    <mergeCell ref="X13:AA13"/>
    <mergeCell ref="AC13:AG13"/>
    <mergeCell ref="I7:M7"/>
    <mergeCell ref="I8:M8"/>
    <mergeCell ref="V8:X8"/>
    <mergeCell ref="B11:H12"/>
    <mergeCell ref="I11:M12"/>
    <mergeCell ref="N11:R12"/>
    <mergeCell ref="S11:W12"/>
    <mergeCell ref="A1:AG2"/>
    <mergeCell ref="AA3:AG4"/>
    <mergeCell ref="AA5:AG5"/>
    <mergeCell ref="B6:D6"/>
    <mergeCell ref="F6:L6"/>
    <mergeCell ref="M6:O6"/>
  </mergeCells>
  <phoneticPr fontId="9"/>
  <pageMargins left="0.59055118110236227" right="0.39370078740157483" top="0.39370078740157483" bottom="0.39370078740157483" header="0" footer="0"/>
  <pageSetup paperSize="9" scale="99" orientation="portrait" copies="9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T113"/>
  <sheetViews>
    <sheetView view="pageBreakPreview" zoomScaleNormal="100" zoomScaleSheetLayoutView="100" workbookViewId="0">
      <selection activeCell="AA5" sqref="AA5:AG5"/>
    </sheetView>
  </sheetViews>
  <sheetFormatPr defaultColWidth="2.625" defaultRowHeight="15.6" customHeight="1" x14ac:dyDescent="0.15"/>
  <cols>
    <col min="1" max="1" width="2.625" style="69"/>
    <col min="2" max="29" width="2.625" style="4"/>
    <col min="30" max="30" width="2.625" style="4" customWidth="1"/>
    <col min="31" max="33" width="2.625" style="4"/>
    <col min="34" max="35" width="2.625" style="7"/>
    <col min="36" max="36" width="8.5" style="7" bestFit="1" customWidth="1"/>
    <col min="37" max="37" width="3.5" style="7" bestFit="1" customWidth="1"/>
    <col min="38" max="42" width="2.625" style="7"/>
    <col min="43" max="43" width="3.5" style="7" bestFit="1" customWidth="1"/>
    <col min="44" max="47" width="2.625" style="7"/>
    <col min="48" max="50" width="2.625" style="4"/>
    <col min="51" max="52" width="2.625" style="79"/>
    <col min="53" max="16384" width="2.625" style="4"/>
  </cols>
  <sheetData>
    <row r="1" spans="1:52" ht="15.6" customHeight="1" x14ac:dyDescent="0.15">
      <c r="A1" s="562" t="s">
        <v>6</v>
      </c>
      <c r="B1" s="562"/>
      <c r="C1" s="562"/>
      <c r="D1" s="562"/>
      <c r="E1" s="562"/>
      <c r="F1" s="562"/>
      <c r="G1" s="562"/>
      <c r="H1" s="562"/>
      <c r="I1" s="562"/>
      <c r="J1" s="562"/>
      <c r="K1" s="562"/>
      <c r="L1" s="562"/>
      <c r="M1" s="562"/>
      <c r="N1" s="562"/>
      <c r="O1" s="562"/>
      <c r="P1" s="562"/>
      <c r="Q1" s="562"/>
      <c r="R1" s="562"/>
      <c r="S1" s="562"/>
      <c r="T1" s="562"/>
      <c r="U1" s="562"/>
      <c r="V1" s="562"/>
      <c r="W1" s="562"/>
      <c r="X1" s="562"/>
      <c r="Y1" s="562"/>
      <c r="Z1" s="562"/>
      <c r="AA1" s="562"/>
      <c r="AB1" s="562"/>
      <c r="AC1" s="562"/>
      <c r="AD1" s="562"/>
      <c r="AE1" s="562"/>
      <c r="AF1" s="562"/>
      <c r="AG1" s="562"/>
      <c r="AH1" s="20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</row>
    <row r="2" spans="1:52" ht="15.6" customHeight="1" x14ac:dyDescent="0.15">
      <c r="A2" s="562"/>
      <c r="B2" s="562"/>
      <c r="C2" s="562"/>
      <c r="D2" s="562"/>
      <c r="E2" s="562"/>
      <c r="F2" s="562"/>
      <c r="G2" s="562"/>
      <c r="H2" s="562"/>
      <c r="I2" s="562"/>
      <c r="J2" s="562"/>
      <c r="K2" s="562"/>
      <c r="L2" s="562"/>
      <c r="M2" s="562"/>
      <c r="N2" s="562"/>
      <c r="O2" s="562"/>
      <c r="P2" s="562"/>
      <c r="Q2" s="562"/>
      <c r="R2" s="562"/>
      <c r="S2" s="562"/>
      <c r="T2" s="562"/>
      <c r="U2" s="562"/>
      <c r="V2" s="562"/>
      <c r="W2" s="562"/>
      <c r="X2" s="562"/>
      <c r="Y2" s="562"/>
      <c r="Z2" s="562"/>
      <c r="AA2" s="562"/>
      <c r="AB2" s="562"/>
      <c r="AC2" s="562"/>
      <c r="AD2" s="562"/>
      <c r="AE2" s="562"/>
      <c r="AF2" s="562"/>
      <c r="AG2" s="562"/>
      <c r="AH2" s="20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</row>
    <row r="3" spans="1:52" s="3" customFormat="1" ht="15.6" customHeight="1" x14ac:dyDescent="0.15">
      <c r="A3" s="49"/>
      <c r="B3" s="41"/>
      <c r="C3" s="42"/>
      <c r="D3" s="42"/>
      <c r="E3" s="42"/>
      <c r="F3" s="42"/>
      <c r="G3" s="42"/>
      <c r="H3" s="42"/>
      <c r="I3" s="42"/>
      <c r="J3" s="42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33"/>
      <c r="W3" s="33"/>
      <c r="X3" s="33"/>
      <c r="Y3" s="33"/>
      <c r="Z3" s="33"/>
      <c r="AA3" s="563" t="s">
        <v>107</v>
      </c>
      <c r="AB3" s="563"/>
      <c r="AC3" s="563"/>
      <c r="AD3" s="563"/>
      <c r="AE3" s="563"/>
      <c r="AF3" s="563"/>
      <c r="AG3" s="563"/>
      <c r="AH3" s="21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Y3" s="79"/>
      <c r="AZ3" s="79"/>
    </row>
    <row r="4" spans="1:52" s="3" customFormat="1" ht="15.6" customHeight="1" x14ac:dyDescent="0.15">
      <c r="A4" s="49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33"/>
      <c r="W4" s="33"/>
      <c r="X4" s="33"/>
      <c r="Y4" s="33"/>
      <c r="Z4" s="33"/>
      <c r="AA4" s="563"/>
      <c r="AB4" s="563"/>
      <c r="AC4" s="563"/>
      <c r="AD4" s="563"/>
      <c r="AE4" s="563"/>
      <c r="AF4" s="563"/>
      <c r="AG4" s="563"/>
      <c r="AH4" s="21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Y4" s="79"/>
      <c r="AZ4" s="79"/>
    </row>
    <row r="5" spans="1:52" s="3" customFormat="1" ht="15.6" customHeight="1" x14ac:dyDescent="0.15">
      <c r="A5" s="49" t="s">
        <v>66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21"/>
      <c r="W5" s="21"/>
      <c r="X5" s="21"/>
      <c r="Y5" s="21"/>
      <c r="Z5" s="21"/>
      <c r="AA5" s="891" t="s">
        <v>232</v>
      </c>
      <c r="AB5" s="564"/>
      <c r="AC5" s="564"/>
      <c r="AD5" s="564"/>
      <c r="AE5" s="564"/>
      <c r="AF5" s="564"/>
      <c r="AG5" s="564"/>
      <c r="AH5" s="21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Y5" s="79"/>
      <c r="AZ5" s="79"/>
    </row>
    <row r="6" spans="1:52" s="3" customFormat="1" ht="15.6" customHeight="1" x14ac:dyDescent="0.15">
      <c r="A6" s="49" t="s">
        <v>7</v>
      </c>
      <c r="B6" s="565" t="s">
        <v>108</v>
      </c>
      <c r="C6" s="565"/>
      <c r="D6" s="565"/>
      <c r="E6" s="437" t="s">
        <v>109</v>
      </c>
      <c r="F6" s="566">
        <v>44896</v>
      </c>
      <c r="G6" s="566"/>
      <c r="H6" s="566"/>
      <c r="I6" s="566"/>
      <c r="J6" s="566"/>
      <c r="K6" s="566"/>
      <c r="L6" s="566"/>
      <c r="M6" s="826" t="s">
        <v>111</v>
      </c>
      <c r="N6" s="826"/>
      <c r="O6" s="826"/>
      <c r="P6" s="16"/>
      <c r="Q6" s="16"/>
      <c r="R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Y6" s="79"/>
      <c r="AZ6" s="79"/>
    </row>
    <row r="7" spans="1:52" s="3" customFormat="1" ht="15.6" customHeight="1" x14ac:dyDescent="0.15">
      <c r="A7" s="49"/>
      <c r="B7" s="49"/>
      <c r="C7" s="49" t="s">
        <v>65</v>
      </c>
      <c r="D7" s="438"/>
      <c r="E7" s="49"/>
      <c r="F7" s="49"/>
      <c r="G7" s="49"/>
      <c r="H7" s="49"/>
      <c r="I7" s="824">
        <v>224036</v>
      </c>
      <c r="J7" s="824"/>
      <c r="K7" s="824"/>
      <c r="L7" s="824"/>
      <c r="M7" s="824"/>
      <c r="N7" s="49" t="s">
        <v>8</v>
      </c>
      <c r="O7" s="49"/>
      <c r="P7" s="398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Y7" s="79"/>
      <c r="AZ7" s="79"/>
    </row>
    <row r="8" spans="1:52" s="3" customFormat="1" ht="15.6" customHeight="1" x14ac:dyDescent="0.15">
      <c r="A8" s="49"/>
      <c r="B8" s="49"/>
      <c r="C8" s="49" t="s">
        <v>9</v>
      </c>
      <c r="D8" s="49"/>
      <c r="E8" s="49"/>
      <c r="F8" s="49"/>
      <c r="G8" s="49"/>
      <c r="H8" s="49"/>
      <c r="I8" s="825">
        <v>103518</v>
      </c>
      <c r="J8" s="824"/>
      <c r="K8" s="824"/>
      <c r="L8" s="824"/>
      <c r="M8" s="824"/>
      <c r="N8" s="49" t="s">
        <v>10</v>
      </c>
      <c r="O8" s="49"/>
      <c r="P8" s="16" t="s">
        <v>11</v>
      </c>
      <c r="Q8" s="16"/>
      <c r="R8" s="16"/>
      <c r="S8" s="16"/>
      <c r="T8" s="16"/>
      <c r="U8" s="16"/>
      <c r="V8" s="548">
        <f>I7/I8</f>
        <v>2.164222647269074</v>
      </c>
      <c r="W8" s="548"/>
      <c r="X8" s="548"/>
      <c r="Y8" s="16" t="s">
        <v>12</v>
      </c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Y8" s="79"/>
      <c r="AZ8" s="79"/>
    </row>
    <row r="9" spans="1:52" s="3" customFormat="1" ht="15.6" customHeight="1" x14ac:dyDescent="0.15">
      <c r="A9" s="49"/>
      <c r="B9" s="16"/>
      <c r="C9" s="16"/>
      <c r="D9" s="16"/>
      <c r="E9" s="16"/>
      <c r="F9" s="16"/>
      <c r="G9" s="16"/>
      <c r="H9" s="16"/>
      <c r="I9" s="384"/>
      <c r="J9" s="383"/>
      <c r="K9" s="383"/>
      <c r="L9" s="383"/>
      <c r="M9" s="383"/>
      <c r="N9" s="16"/>
      <c r="O9" s="16"/>
      <c r="P9" s="16"/>
      <c r="Q9" s="16"/>
      <c r="R9" s="16"/>
      <c r="S9" s="16"/>
      <c r="T9" s="16"/>
      <c r="U9" s="16"/>
      <c r="V9" s="381"/>
      <c r="W9" s="381"/>
      <c r="X9" s="381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Y9" s="79"/>
      <c r="AZ9" s="79"/>
    </row>
    <row r="10" spans="1:52" s="3" customFormat="1" ht="15.6" customHeight="1" x14ac:dyDescent="0.15">
      <c r="A10" s="49" t="s">
        <v>5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Y10" s="79"/>
      <c r="AZ10" s="79"/>
    </row>
    <row r="11" spans="1:52" s="3" customFormat="1" ht="15.6" customHeight="1" x14ac:dyDescent="0.15">
      <c r="A11" s="49"/>
      <c r="B11" s="549" t="s">
        <v>67</v>
      </c>
      <c r="C11" s="550"/>
      <c r="D11" s="550"/>
      <c r="E11" s="550"/>
      <c r="F11" s="550"/>
      <c r="G11" s="550"/>
      <c r="H11" s="551"/>
      <c r="I11" s="555" t="s">
        <v>130</v>
      </c>
      <c r="J11" s="556"/>
      <c r="K11" s="556"/>
      <c r="L11" s="556"/>
      <c r="M11" s="557"/>
      <c r="N11" s="555" t="s">
        <v>131</v>
      </c>
      <c r="O11" s="556"/>
      <c r="P11" s="556"/>
      <c r="Q11" s="556"/>
      <c r="R11" s="557"/>
      <c r="S11" s="561" t="s">
        <v>13</v>
      </c>
      <c r="T11" s="556"/>
      <c r="U11" s="556"/>
      <c r="V11" s="556"/>
      <c r="W11" s="557"/>
      <c r="X11" s="29"/>
      <c r="Y11" s="581" t="s">
        <v>68</v>
      </c>
      <c r="Z11" s="581"/>
      <c r="AA11" s="581"/>
      <c r="AB11" s="30"/>
      <c r="AC11" s="561" t="s">
        <v>81</v>
      </c>
      <c r="AD11" s="556"/>
      <c r="AE11" s="556"/>
      <c r="AF11" s="556"/>
      <c r="AG11" s="557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Y11" s="79"/>
      <c r="AZ11" s="79"/>
    </row>
    <row r="12" spans="1:52" s="3" customFormat="1" ht="15.6" customHeight="1" x14ac:dyDescent="0.15">
      <c r="A12" s="49"/>
      <c r="B12" s="552"/>
      <c r="C12" s="553"/>
      <c r="D12" s="553"/>
      <c r="E12" s="553"/>
      <c r="F12" s="553"/>
      <c r="G12" s="553"/>
      <c r="H12" s="554"/>
      <c r="I12" s="558"/>
      <c r="J12" s="559"/>
      <c r="K12" s="559"/>
      <c r="L12" s="559"/>
      <c r="M12" s="560"/>
      <c r="N12" s="558"/>
      <c r="O12" s="559"/>
      <c r="P12" s="559"/>
      <c r="Q12" s="559"/>
      <c r="R12" s="560"/>
      <c r="S12" s="558"/>
      <c r="T12" s="559"/>
      <c r="U12" s="559"/>
      <c r="V12" s="559"/>
      <c r="W12" s="560"/>
      <c r="X12" s="31"/>
      <c r="Y12" s="581" t="s">
        <v>69</v>
      </c>
      <c r="Z12" s="581"/>
      <c r="AA12" s="581"/>
      <c r="AB12" s="32"/>
      <c r="AC12" s="558"/>
      <c r="AD12" s="559"/>
      <c r="AE12" s="559"/>
      <c r="AF12" s="559"/>
      <c r="AG12" s="560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Y12" s="79"/>
      <c r="AZ12" s="79"/>
    </row>
    <row r="13" spans="1:52" s="3" customFormat="1" ht="15.6" customHeight="1" x14ac:dyDescent="0.15">
      <c r="A13" s="49"/>
      <c r="B13" s="393" t="s">
        <v>126</v>
      </c>
      <c r="C13" s="394"/>
      <c r="D13" s="394"/>
      <c r="E13" s="394"/>
      <c r="F13" s="394"/>
      <c r="G13" s="394"/>
      <c r="H13" s="395"/>
      <c r="I13" s="570">
        <v>2329</v>
      </c>
      <c r="J13" s="571"/>
      <c r="K13" s="571"/>
      <c r="L13" s="571"/>
      <c r="M13" s="572"/>
      <c r="N13" s="570">
        <v>3076</v>
      </c>
      <c r="O13" s="571"/>
      <c r="P13" s="571"/>
      <c r="Q13" s="571"/>
      <c r="R13" s="572"/>
      <c r="S13" s="570">
        <v>28</v>
      </c>
      <c r="T13" s="571"/>
      <c r="U13" s="571"/>
      <c r="V13" s="571"/>
      <c r="W13" s="572"/>
      <c r="X13" s="582">
        <f t="shared" ref="X13:X16" si="0">I13/S13</f>
        <v>83.178571428571431</v>
      </c>
      <c r="Y13" s="583"/>
      <c r="Z13" s="583"/>
      <c r="AA13" s="583"/>
      <c r="AB13" s="34"/>
      <c r="AC13" s="584">
        <v>13.65933373002833</v>
      </c>
      <c r="AD13" s="585"/>
      <c r="AE13" s="585"/>
      <c r="AF13" s="585"/>
      <c r="AG13" s="586"/>
      <c r="AH13" s="568"/>
      <c r="AI13" s="569"/>
      <c r="AJ13" s="569"/>
      <c r="AK13" s="569"/>
      <c r="AL13" s="16"/>
      <c r="AM13" s="18"/>
      <c r="AN13" s="16"/>
      <c r="AO13" s="16"/>
      <c r="AP13" s="16"/>
      <c r="AQ13" s="16"/>
      <c r="AR13" s="16"/>
      <c r="AS13" s="16"/>
      <c r="AT13" s="16"/>
      <c r="AU13" s="16"/>
      <c r="AY13" s="79"/>
      <c r="AZ13" s="79"/>
    </row>
    <row r="14" spans="1:52" s="3" customFormat="1" ht="15.6" customHeight="1" x14ac:dyDescent="0.15">
      <c r="A14" s="49"/>
      <c r="B14" s="393" t="s">
        <v>129</v>
      </c>
      <c r="C14" s="394"/>
      <c r="D14" s="394"/>
      <c r="E14" s="394"/>
      <c r="F14" s="394"/>
      <c r="G14" s="394"/>
      <c r="H14" s="395"/>
      <c r="I14" s="570">
        <v>2409</v>
      </c>
      <c r="J14" s="571"/>
      <c r="K14" s="571"/>
      <c r="L14" s="571"/>
      <c r="M14" s="572"/>
      <c r="N14" s="570">
        <v>3167</v>
      </c>
      <c r="O14" s="571"/>
      <c r="P14" s="571"/>
      <c r="Q14" s="571"/>
      <c r="R14" s="572"/>
      <c r="S14" s="573">
        <v>28</v>
      </c>
      <c r="T14" s="574"/>
      <c r="U14" s="574"/>
      <c r="V14" s="574"/>
      <c r="W14" s="575"/>
      <c r="X14" s="576">
        <f>I14/S14</f>
        <v>86.035714285714292</v>
      </c>
      <c r="Y14" s="577"/>
      <c r="Z14" s="577"/>
      <c r="AA14" s="577"/>
      <c r="AB14" s="23"/>
      <c r="AC14" s="578">
        <v>14.09717121808996</v>
      </c>
      <c r="AD14" s="579"/>
      <c r="AE14" s="579"/>
      <c r="AF14" s="579"/>
      <c r="AG14" s="580"/>
      <c r="AH14" s="568"/>
      <c r="AI14" s="569"/>
      <c r="AJ14" s="569"/>
      <c r="AK14" s="569"/>
      <c r="AL14" s="16"/>
      <c r="AM14" s="18"/>
      <c r="AN14" s="16"/>
      <c r="AO14" s="16"/>
      <c r="AP14" s="16"/>
      <c r="AQ14" s="16"/>
      <c r="AR14" s="16"/>
      <c r="AS14" s="16"/>
      <c r="AT14" s="16"/>
      <c r="AU14" s="16"/>
      <c r="AY14" s="79"/>
      <c r="AZ14" s="79"/>
    </row>
    <row r="15" spans="1:52" s="3" customFormat="1" ht="15.6" customHeight="1" x14ac:dyDescent="0.15">
      <c r="A15" s="49"/>
      <c r="B15" s="589" t="s">
        <v>144</v>
      </c>
      <c r="C15" s="589"/>
      <c r="D15" s="589"/>
      <c r="E15" s="589"/>
      <c r="F15" s="589"/>
      <c r="G15" s="589"/>
      <c r="H15" s="589"/>
      <c r="I15" s="570">
        <v>2478</v>
      </c>
      <c r="J15" s="571"/>
      <c r="K15" s="571"/>
      <c r="L15" s="571"/>
      <c r="M15" s="572"/>
      <c r="N15" s="570">
        <v>3222</v>
      </c>
      <c r="O15" s="571"/>
      <c r="P15" s="571"/>
      <c r="Q15" s="571"/>
      <c r="R15" s="572"/>
      <c r="S15" s="570">
        <v>29</v>
      </c>
      <c r="T15" s="571"/>
      <c r="U15" s="571"/>
      <c r="V15" s="571"/>
      <c r="W15" s="572"/>
      <c r="X15" s="576">
        <f t="shared" si="0"/>
        <v>85.448275862068968</v>
      </c>
      <c r="Y15" s="577"/>
      <c r="Z15" s="577"/>
      <c r="AA15" s="577"/>
      <c r="AB15" s="23"/>
      <c r="AC15" s="578">
        <v>14.375008365344719</v>
      </c>
      <c r="AD15" s="579"/>
      <c r="AE15" s="579"/>
      <c r="AF15" s="579"/>
      <c r="AG15" s="580"/>
      <c r="AH15" s="587"/>
      <c r="AI15" s="588"/>
      <c r="AJ15" s="588"/>
      <c r="AK15" s="588"/>
      <c r="AL15" s="14"/>
      <c r="AM15" s="18"/>
      <c r="AN15" s="14"/>
      <c r="AO15" s="16"/>
      <c r="AP15" s="16"/>
      <c r="AQ15" s="16"/>
      <c r="AR15" s="16"/>
      <c r="AS15" s="16"/>
      <c r="AT15" s="16"/>
      <c r="AU15" s="16"/>
      <c r="AY15" s="79"/>
      <c r="AZ15" s="79"/>
    </row>
    <row r="16" spans="1:52" s="3" customFormat="1" ht="15.6" customHeight="1" x14ac:dyDescent="0.15">
      <c r="A16" s="49"/>
      <c r="B16" s="589" t="s">
        <v>148</v>
      </c>
      <c r="C16" s="589"/>
      <c r="D16" s="589"/>
      <c r="E16" s="589"/>
      <c r="F16" s="589"/>
      <c r="G16" s="589"/>
      <c r="H16" s="589"/>
      <c r="I16" s="570">
        <v>2523</v>
      </c>
      <c r="J16" s="571"/>
      <c r="K16" s="571"/>
      <c r="L16" s="571"/>
      <c r="M16" s="572"/>
      <c r="N16" s="570">
        <v>3258</v>
      </c>
      <c r="O16" s="571"/>
      <c r="P16" s="571"/>
      <c r="Q16" s="571"/>
      <c r="R16" s="572"/>
      <c r="S16" s="570">
        <v>30</v>
      </c>
      <c r="T16" s="571"/>
      <c r="U16" s="571"/>
      <c r="V16" s="571"/>
      <c r="W16" s="572"/>
      <c r="X16" s="576">
        <f t="shared" si="0"/>
        <v>84.1</v>
      </c>
      <c r="Y16" s="577"/>
      <c r="Z16" s="577"/>
      <c r="AA16" s="577"/>
      <c r="AB16" s="23"/>
      <c r="AC16" s="578">
        <v>14.560112977181111</v>
      </c>
      <c r="AD16" s="579"/>
      <c r="AE16" s="579"/>
      <c r="AF16" s="579"/>
      <c r="AG16" s="580"/>
      <c r="AH16" s="587"/>
      <c r="AI16" s="588"/>
      <c r="AJ16" s="588"/>
      <c r="AK16" s="588"/>
      <c r="AL16" s="14"/>
      <c r="AM16" s="18"/>
      <c r="AN16" s="14"/>
      <c r="AO16" s="14"/>
      <c r="AP16" s="14"/>
      <c r="AQ16" s="14"/>
      <c r="AR16" s="14"/>
      <c r="AS16" s="14"/>
      <c r="AT16" s="14"/>
      <c r="AU16" s="14"/>
      <c r="AY16" s="79"/>
      <c r="AZ16" s="79"/>
    </row>
    <row r="17" spans="1:52" s="3" customFormat="1" ht="15.6" customHeight="1" x14ac:dyDescent="0.15">
      <c r="A17" s="49"/>
      <c r="B17" s="604" t="s">
        <v>169</v>
      </c>
      <c r="C17" s="604"/>
      <c r="D17" s="604"/>
      <c r="E17" s="604"/>
      <c r="F17" s="604"/>
      <c r="G17" s="604"/>
      <c r="H17" s="604"/>
      <c r="I17" s="605">
        <v>2564</v>
      </c>
      <c r="J17" s="606"/>
      <c r="K17" s="606"/>
      <c r="L17" s="606"/>
      <c r="M17" s="607"/>
      <c r="N17" s="605">
        <v>3302</v>
      </c>
      <c r="O17" s="606"/>
      <c r="P17" s="606"/>
      <c r="Q17" s="606"/>
      <c r="R17" s="607"/>
      <c r="S17" s="570">
        <v>31</v>
      </c>
      <c r="T17" s="571"/>
      <c r="U17" s="571"/>
      <c r="V17" s="571"/>
      <c r="W17" s="572"/>
      <c r="X17" s="576">
        <f>I17/S17</f>
        <v>82.709677419354833</v>
      </c>
      <c r="Y17" s="577"/>
      <c r="Z17" s="577"/>
      <c r="AA17" s="577"/>
      <c r="AB17" s="23"/>
      <c r="AC17" s="578">
        <v>14.773652608878509</v>
      </c>
      <c r="AD17" s="579"/>
      <c r="AE17" s="579"/>
      <c r="AF17" s="579"/>
      <c r="AG17" s="580"/>
      <c r="AH17" s="587"/>
      <c r="AI17" s="588"/>
      <c r="AJ17" s="588"/>
      <c r="AK17" s="588"/>
      <c r="AL17" s="14"/>
      <c r="AM17" s="14"/>
      <c r="AN17" s="14"/>
      <c r="AO17" s="14"/>
      <c r="AP17" s="14"/>
      <c r="AQ17" s="14"/>
      <c r="AR17" s="14"/>
      <c r="AS17" s="14"/>
      <c r="AT17" s="14"/>
      <c r="AU17" s="39"/>
      <c r="AV17" s="38"/>
      <c r="AX17" s="596"/>
      <c r="AY17" s="596"/>
      <c r="AZ17" s="79"/>
    </row>
    <row r="18" spans="1:52" s="3" customFormat="1" ht="15.6" customHeight="1" x14ac:dyDescent="0.15">
      <c r="A18" s="49"/>
      <c r="B18" s="597" t="s">
        <v>209</v>
      </c>
      <c r="C18" s="597"/>
      <c r="D18" s="597"/>
      <c r="E18" s="597"/>
      <c r="F18" s="597"/>
      <c r="G18" s="597"/>
      <c r="H18" s="597"/>
      <c r="I18" s="598">
        <f>2560+3</f>
        <v>2563</v>
      </c>
      <c r="J18" s="599"/>
      <c r="K18" s="599"/>
      <c r="L18" s="599"/>
      <c r="M18" s="600"/>
      <c r="N18" s="598">
        <f>3250+3</f>
        <v>3253</v>
      </c>
      <c r="O18" s="599"/>
      <c r="P18" s="599"/>
      <c r="Q18" s="599"/>
      <c r="R18" s="600"/>
      <c r="S18" s="570">
        <v>31</v>
      </c>
      <c r="T18" s="571"/>
      <c r="U18" s="571"/>
      <c r="V18" s="571"/>
      <c r="W18" s="572"/>
      <c r="X18" s="576">
        <f>I18/S18</f>
        <v>82.677419354838705</v>
      </c>
      <c r="Y18" s="577"/>
      <c r="Z18" s="577"/>
      <c r="AA18" s="577"/>
      <c r="AB18" s="23"/>
      <c r="AC18" s="578">
        <v>14.519987859094073</v>
      </c>
      <c r="AD18" s="579"/>
      <c r="AE18" s="579"/>
      <c r="AF18" s="579"/>
      <c r="AG18" s="580"/>
      <c r="AH18" s="883"/>
      <c r="AI18" s="884"/>
      <c r="AJ18" s="884"/>
      <c r="AK18" s="884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38"/>
      <c r="AX18" s="379"/>
      <c r="AY18" s="379"/>
      <c r="AZ18" s="79"/>
    </row>
    <row r="19" spans="1:52" s="1" customFormat="1" ht="15.6" customHeight="1" x14ac:dyDescent="0.15">
      <c r="A19" s="49"/>
      <c r="B19" s="398"/>
      <c r="C19" s="16"/>
      <c r="D19" s="590" t="s">
        <v>79</v>
      </c>
      <c r="E19" s="590"/>
      <c r="F19" s="590"/>
      <c r="G19" s="590"/>
      <c r="H19" s="590"/>
      <c r="I19" s="591">
        <v>92</v>
      </c>
      <c r="J19" s="592"/>
      <c r="K19" s="592"/>
      <c r="L19" s="592"/>
      <c r="M19" s="593"/>
      <c r="N19" s="594">
        <v>181</v>
      </c>
      <c r="O19" s="594"/>
      <c r="P19" s="594"/>
      <c r="Q19" s="594"/>
      <c r="R19" s="594"/>
      <c r="S19" s="398"/>
      <c r="T19" s="18"/>
      <c r="U19" s="16"/>
      <c r="V19" s="16"/>
      <c r="W19" s="16"/>
      <c r="X19" s="16"/>
      <c r="Y19" s="16"/>
      <c r="Z19" s="16"/>
      <c r="AA19" s="16"/>
      <c r="AB19" s="380"/>
      <c r="AC19" s="380"/>
      <c r="AD19" s="380"/>
      <c r="AE19" s="380"/>
      <c r="AF19" s="16"/>
      <c r="AG19" s="16"/>
      <c r="AH19" s="16"/>
      <c r="AI19" s="71"/>
      <c r="AJ19" s="16"/>
      <c r="AK19" s="16"/>
      <c r="AL19" s="16"/>
      <c r="AM19" s="16"/>
      <c r="AN19" s="16"/>
      <c r="AO19" s="16"/>
      <c r="AP19" s="13"/>
      <c r="AQ19" s="13"/>
      <c r="AR19" s="13"/>
      <c r="AS19" s="13"/>
      <c r="AT19" s="13"/>
      <c r="AU19" s="13"/>
      <c r="AY19" s="369"/>
      <c r="AZ19" s="369"/>
    </row>
    <row r="20" spans="1:52" s="1" customFormat="1" ht="15.6" customHeight="1" x14ac:dyDescent="0.15">
      <c r="A20" s="49"/>
      <c r="B20" s="398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545"/>
      <c r="AI20" s="545"/>
      <c r="AJ20" s="545"/>
      <c r="AK20" s="545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Y20" s="369"/>
      <c r="AZ20" s="369"/>
    </row>
    <row r="21" spans="1:52" s="14" customFormat="1" ht="15.6" customHeight="1" x14ac:dyDescent="0.15">
      <c r="A21" s="50" t="s">
        <v>124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24"/>
      <c r="X21" s="24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Y21" s="80"/>
      <c r="AZ21" s="80"/>
    </row>
    <row r="22" spans="1:52" s="14" customFormat="1" ht="15.6" customHeight="1" x14ac:dyDescent="0.15">
      <c r="A22" s="382" t="s">
        <v>171</v>
      </c>
      <c r="B22" s="25"/>
      <c r="C22" s="25"/>
      <c r="D22" s="387"/>
      <c r="E22" s="387"/>
      <c r="F22" s="387"/>
      <c r="G22" s="387"/>
      <c r="H22" s="22"/>
      <c r="I22" s="387"/>
      <c r="J22" s="387"/>
      <c r="K22" s="387"/>
      <c r="L22" s="1" t="s">
        <v>73</v>
      </c>
      <c r="M22" s="22"/>
      <c r="N22" s="387"/>
      <c r="O22" s="387"/>
      <c r="P22" s="387"/>
      <c r="Q22" s="387"/>
      <c r="R22" s="22"/>
      <c r="S22" s="401"/>
      <c r="T22" s="387"/>
      <c r="U22" s="387"/>
      <c r="V22" s="402"/>
      <c r="W22" s="402"/>
      <c r="X22" s="26"/>
      <c r="Y22" s="401"/>
      <c r="Z22" s="401"/>
      <c r="AA22" s="401"/>
      <c r="AB22" s="402"/>
      <c r="AC22" s="387"/>
      <c r="AD22" s="387"/>
      <c r="AE22" s="387"/>
      <c r="AF22" s="387"/>
      <c r="AG22" s="387"/>
      <c r="AH22" s="24"/>
      <c r="AI22" s="24"/>
      <c r="AJ22" s="24"/>
      <c r="AK22" s="24"/>
      <c r="AL22" s="24"/>
      <c r="AM22" s="24"/>
      <c r="AY22" s="80"/>
      <c r="AZ22" s="80"/>
    </row>
    <row r="23" spans="1:52" s="14" customFormat="1" ht="15.6" customHeight="1" x14ac:dyDescent="0.15">
      <c r="A23" s="52"/>
      <c r="B23" s="595" t="s">
        <v>14</v>
      </c>
      <c r="C23" s="595"/>
      <c r="D23" s="595" t="s">
        <v>15</v>
      </c>
      <c r="E23" s="595"/>
      <c r="F23" s="595"/>
      <c r="G23" s="595"/>
      <c r="H23" s="595"/>
      <c r="I23" s="595" t="s">
        <v>16</v>
      </c>
      <c r="J23" s="595"/>
      <c r="K23" s="595"/>
      <c r="L23" s="595"/>
      <c r="M23" s="595"/>
      <c r="N23" s="595" t="s">
        <v>17</v>
      </c>
      <c r="O23" s="595"/>
      <c r="P23" s="595"/>
      <c r="Q23" s="595"/>
      <c r="R23" s="595"/>
      <c r="S23" s="608" t="s">
        <v>18</v>
      </c>
      <c r="T23" s="609"/>
      <c r="U23" s="609"/>
      <c r="V23" s="609"/>
      <c r="W23" s="609"/>
      <c r="X23" s="610"/>
      <c r="Y23" s="608" t="s">
        <v>19</v>
      </c>
      <c r="Z23" s="609"/>
      <c r="AA23" s="609"/>
      <c r="AB23" s="609"/>
      <c r="AC23" s="609"/>
      <c r="AD23" s="610"/>
      <c r="AE23" s="608" t="s">
        <v>72</v>
      </c>
      <c r="AF23" s="609"/>
      <c r="AG23" s="610"/>
      <c r="AH23" s="13"/>
      <c r="AI23" s="13"/>
      <c r="AJ23" s="13"/>
      <c r="AK23" s="13"/>
      <c r="AL23" s="13"/>
      <c r="AM23" s="13"/>
      <c r="AY23" s="80"/>
      <c r="AZ23" s="80"/>
    </row>
    <row r="24" spans="1:52" s="14" customFormat="1" ht="15.6" customHeight="1" x14ac:dyDescent="0.15">
      <c r="A24" s="49"/>
      <c r="B24" s="611" t="s">
        <v>9</v>
      </c>
      <c r="C24" s="611"/>
      <c r="D24" s="612">
        <v>365</v>
      </c>
      <c r="E24" s="612"/>
      <c r="F24" s="612"/>
      <c r="G24" s="612"/>
      <c r="H24" s="612"/>
      <c r="I24" s="612">
        <f>SUM(L25:M28)</f>
        <v>29</v>
      </c>
      <c r="J24" s="612"/>
      <c r="K24" s="612"/>
      <c r="L24" s="612"/>
      <c r="M24" s="612"/>
      <c r="N24" s="612">
        <f>SUM(Q25:R29)</f>
        <v>20</v>
      </c>
      <c r="O24" s="612"/>
      <c r="P24" s="612"/>
      <c r="Q24" s="612"/>
      <c r="R24" s="612"/>
      <c r="S24" s="613">
        <v>327</v>
      </c>
      <c r="T24" s="614"/>
      <c r="U24" s="614"/>
      <c r="V24" s="614"/>
      <c r="W24" s="614"/>
      <c r="X24" s="615"/>
      <c r="Y24" s="613">
        <v>286</v>
      </c>
      <c r="Z24" s="614"/>
      <c r="AA24" s="614"/>
      <c r="AB24" s="614"/>
      <c r="AC24" s="614"/>
      <c r="AD24" s="615"/>
      <c r="AE24" s="613">
        <f>S24-Y24</f>
        <v>41</v>
      </c>
      <c r="AF24" s="614"/>
      <c r="AG24" s="615"/>
      <c r="AH24" s="16"/>
      <c r="AI24" s="13"/>
      <c r="AJ24" s="13"/>
      <c r="AK24" s="16"/>
      <c r="AL24" s="16"/>
      <c r="AM24" s="16"/>
      <c r="AY24" s="80"/>
      <c r="AZ24" s="80"/>
    </row>
    <row r="25" spans="1:52" s="14" customFormat="1" ht="15.6" customHeight="1" x14ac:dyDescent="0.15">
      <c r="A25" s="49"/>
      <c r="B25" s="632" t="s">
        <v>21</v>
      </c>
      <c r="C25" s="633"/>
      <c r="D25" s="624"/>
      <c r="E25" s="625"/>
      <c r="F25" s="625"/>
      <c r="G25" s="626"/>
      <c r="H25" s="627"/>
      <c r="I25" s="57" t="s">
        <v>22</v>
      </c>
      <c r="J25" s="58"/>
      <c r="K25" s="58"/>
      <c r="L25" s="622">
        <v>8</v>
      </c>
      <c r="M25" s="623"/>
      <c r="N25" s="57" t="s">
        <v>62</v>
      </c>
      <c r="O25" s="58"/>
      <c r="P25" s="58"/>
      <c r="Q25" s="622">
        <v>13</v>
      </c>
      <c r="R25" s="623"/>
      <c r="S25" s="375" t="s">
        <v>23</v>
      </c>
      <c r="T25" s="376"/>
      <c r="U25" s="376"/>
      <c r="V25" s="376"/>
      <c r="W25" s="622">
        <v>54</v>
      </c>
      <c r="X25" s="623"/>
      <c r="Y25" s="57" t="s">
        <v>97</v>
      </c>
      <c r="Z25" s="376"/>
      <c r="AA25" s="376"/>
      <c r="AB25" s="376"/>
      <c r="AC25" s="622">
        <v>0</v>
      </c>
      <c r="AD25" s="623"/>
      <c r="AE25" s="390"/>
      <c r="AF25" s="391"/>
      <c r="AG25" s="5"/>
      <c r="AH25" s="16"/>
      <c r="AI25" s="13"/>
      <c r="AJ25" s="13"/>
      <c r="AK25" s="16"/>
      <c r="AL25" s="16"/>
      <c r="AM25" s="16"/>
      <c r="AY25" s="80"/>
      <c r="AZ25" s="80"/>
    </row>
    <row r="26" spans="1:52" s="14" customFormat="1" ht="15.6" customHeight="1" x14ac:dyDescent="0.15">
      <c r="A26" s="49"/>
      <c r="B26" s="634"/>
      <c r="C26" s="635"/>
      <c r="D26" s="620"/>
      <c r="E26" s="621"/>
      <c r="F26" s="621"/>
      <c r="G26" s="621"/>
      <c r="H26" s="59"/>
      <c r="I26" s="60" t="s">
        <v>0</v>
      </c>
      <c r="J26" s="61"/>
      <c r="K26" s="61"/>
      <c r="L26" s="616">
        <v>2</v>
      </c>
      <c r="M26" s="617"/>
      <c r="N26" s="60" t="s">
        <v>3</v>
      </c>
      <c r="O26" s="61"/>
      <c r="P26" s="61"/>
      <c r="Q26" s="616">
        <v>0</v>
      </c>
      <c r="R26" s="617"/>
      <c r="S26" s="377" t="s">
        <v>90</v>
      </c>
      <c r="T26" s="378"/>
      <c r="U26" s="378"/>
      <c r="V26" s="378"/>
      <c r="W26" s="616">
        <v>1</v>
      </c>
      <c r="X26" s="617"/>
      <c r="Y26" s="60" t="s">
        <v>4</v>
      </c>
      <c r="Z26" s="61"/>
      <c r="AA26" s="61"/>
      <c r="AB26" s="61"/>
      <c r="AC26" s="616">
        <v>105</v>
      </c>
      <c r="AD26" s="617"/>
      <c r="AE26" s="388"/>
      <c r="AF26" s="389"/>
      <c r="AG26" s="6"/>
      <c r="AH26" s="16"/>
      <c r="AI26" s="13"/>
      <c r="AJ26" s="13"/>
      <c r="AK26" s="16"/>
      <c r="AL26" s="16"/>
      <c r="AM26" s="16"/>
      <c r="AY26" s="80"/>
      <c r="AZ26" s="80"/>
    </row>
    <row r="27" spans="1:52" s="14" customFormat="1" ht="15.6" customHeight="1" x14ac:dyDescent="0.15">
      <c r="A27" s="49"/>
      <c r="B27" s="634"/>
      <c r="C27" s="635"/>
      <c r="D27" s="620"/>
      <c r="E27" s="621"/>
      <c r="F27" s="621"/>
      <c r="G27" s="621"/>
      <c r="H27" s="59"/>
      <c r="I27" s="60" t="s">
        <v>61</v>
      </c>
      <c r="J27" s="61"/>
      <c r="K27" s="61"/>
      <c r="L27" s="616">
        <v>4</v>
      </c>
      <c r="M27" s="617"/>
      <c r="N27" s="60" t="s">
        <v>0</v>
      </c>
      <c r="O27" s="61"/>
      <c r="P27" s="61"/>
      <c r="Q27" s="616">
        <v>0</v>
      </c>
      <c r="R27" s="617"/>
      <c r="S27" s="377" t="s">
        <v>91</v>
      </c>
      <c r="T27" s="378"/>
      <c r="U27" s="378"/>
      <c r="V27" s="378"/>
      <c r="W27" s="616">
        <v>9</v>
      </c>
      <c r="X27" s="617"/>
      <c r="Y27" s="60" t="s">
        <v>2</v>
      </c>
      <c r="Z27" s="62"/>
      <c r="AA27" s="62"/>
      <c r="AB27" s="62"/>
      <c r="AC27" s="616">
        <v>17</v>
      </c>
      <c r="AD27" s="617"/>
      <c r="AE27" s="388"/>
      <c r="AF27" s="389"/>
      <c r="AG27" s="6"/>
      <c r="AH27" s="16"/>
      <c r="AI27" s="13"/>
      <c r="AJ27" s="13"/>
      <c r="AK27" s="16"/>
      <c r="AL27" s="16"/>
      <c r="AM27" s="16"/>
      <c r="AQ27" s="18"/>
      <c r="AY27" s="80"/>
      <c r="AZ27" s="80"/>
    </row>
    <row r="28" spans="1:52" s="14" customFormat="1" ht="15.6" customHeight="1" x14ac:dyDescent="0.15">
      <c r="A28" s="49"/>
      <c r="B28" s="634"/>
      <c r="C28" s="635"/>
      <c r="D28" s="620"/>
      <c r="E28" s="621"/>
      <c r="F28" s="621"/>
      <c r="G28" s="621"/>
      <c r="H28" s="59"/>
      <c r="I28" s="60" t="s">
        <v>60</v>
      </c>
      <c r="J28" s="61"/>
      <c r="K28" s="61"/>
      <c r="L28" s="616">
        <v>15</v>
      </c>
      <c r="M28" s="617"/>
      <c r="N28" s="60" t="s">
        <v>4</v>
      </c>
      <c r="O28" s="61"/>
      <c r="P28" s="61"/>
      <c r="Q28" s="616">
        <v>0</v>
      </c>
      <c r="R28" s="617"/>
      <c r="S28" s="377" t="s">
        <v>92</v>
      </c>
      <c r="T28" s="378"/>
      <c r="U28" s="378"/>
      <c r="V28" s="378"/>
      <c r="W28" s="616">
        <v>54</v>
      </c>
      <c r="X28" s="617"/>
      <c r="Y28" s="60" t="s">
        <v>98</v>
      </c>
      <c r="Z28" s="61"/>
      <c r="AA28" s="61"/>
      <c r="AB28" s="61"/>
      <c r="AC28" s="616">
        <v>48</v>
      </c>
      <c r="AD28" s="617"/>
      <c r="AE28" s="388"/>
      <c r="AF28" s="389"/>
      <c r="AG28" s="6"/>
      <c r="AH28" s="16"/>
      <c r="AI28" s="13"/>
      <c r="AJ28" s="13"/>
      <c r="AK28" s="16"/>
      <c r="AL28" s="16"/>
      <c r="AM28" s="16"/>
      <c r="AY28" s="80"/>
      <c r="AZ28" s="80"/>
    </row>
    <row r="29" spans="1:52" s="14" customFormat="1" ht="15.6" customHeight="1" x14ac:dyDescent="0.15">
      <c r="A29" s="49"/>
      <c r="B29" s="634"/>
      <c r="C29" s="635"/>
      <c r="D29" s="620"/>
      <c r="E29" s="621"/>
      <c r="F29" s="621"/>
      <c r="G29" s="621"/>
      <c r="H29" s="59"/>
      <c r="I29" s="60"/>
      <c r="J29" s="61"/>
      <c r="K29" s="61"/>
      <c r="L29" s="61"/>
      <c r="M29" s="63"/>
      <c r="N29" s="60" t="s">
        <v>60</v>
      </c>
      <c r="O29" s="61"/>
      <c r="P29" s="61"/>
      <c r="Q29" s="616">
        <v>7</v>
      </c>
      <c r="R29" s="617"/>
      <c r="S29" s="377" t="s">
        <v>94</v>
      </c>
      <c r="T29" s="378"/>
      <c r="U29" s="378"/>
      <c r="V29" s="378"/>
      <c r="W29" s="616">
        <v>16</v>
      </c>
      <c r="X29" s="617"/>
      <c r="Y29" s="60" t="s">
        <v>99</v>
      </c>
      <c r="Z29" s="61"/>
      <c r="AA29" s="61"/>
      <c r="AB29" s="61"/>
      <c r="AC29" s="618">
        <v>3</v>
      </c>
      <c r="AD29" s="619"/>
      <c r="AE29" s="388"/>
      <c r="AF29" s="389"/>
      <c r="AG29" s="6"/>
      <c r="AH29" s="16"/>
      <c r="AI29" s="13"/>
      <c r="AJ29" s="13"/>
      <c r="AK29" s="16"/>
      <c r="AL29" s="16"/>
      <c r="AM29" s="16"/>
      <c r="AY29" s="80"/>
      <c r="AZ29" s="80"/>
    </row>
    <row r="30" spans="1:52" s="14" customFormat="1" ht="15.6" customHeight="1" x14ac:dyDescent="0.15">
      <c r="A30" s="49"/>
      <c r="B30" s="634"/>
      <c r="C30" s="635"/>
      <c r="D30" s="377"/>
      <c r="E30" s="378"/>
      <c r="F30" s="378"/>
      <c r="G30" s="378"/>
      <c r="H30" s="59"/>
      <c r="I30" s="60"/>
      <c r="J30" s="61"/>
      <c r="K30" s="61"/>
      <c r="L30" s="61"/>
      <c r="M30" s="63"/>
      <c r="N30" s="60"/>
      <c r="O30" s="61"/>
      <c r="P30" s="61"/>
      <c r="Q30" s="370"/>
      <c r="R30" s="371"/>
      <c r="S30" s="377" t="s">
        <v>93</v>
      </c>
      <c r="T30" s="378"/>
      <c r="U30" s="378"/>
      <c r="V30" s="378"/>
      <c r="W30" s="616">
        <v>0</v>
      </c>
      <c r="X30" s="617"/>
      <c r="Y30" s="60" t="s">
        <v>100</v>
      </c>
      <c r="Z30" s="61"/>
      <c r="AA30" s="61"/>
      <c r="AB30" s="61"/>
      <c r="AC30" s="618">
        <v>12</v>
      </c>
      <c r="AD30" s="619"/>
      <c r="AE30" s="388"/>
      <c r="AF30" s="389"/>
      <c r="AG30" s="6"/>
      <c r="AH30" s="16"/>
      <c r="AI30" s="13"/>
      <c r="AJ30" s="13"/>
      <c r="AK30" s="16"/>
      <c r="AL30" s="16"/>
      <c r="AM30" s="16"/>
      <c r="AY30" s="80"/>
      <c r="AZ30" s="80"/>
    </row>
    <row r="31" spans="1:52" s="14" customFormat="1" ht="15.6" customHeight="1" x14ac:dyDescent="0.15">
      <c r="A31" s="49"/>
      <c r="B31" s="634"/>
      <c r="C31" s="635"/>
      <c r="D31" s="377"/>
      <c r="E31" s="378"/>
      <c r="F31" s="378"/>
      <c r="G31" s="378"/>
      <c r="H31" s="59"/>
      <c r="I31" s="60"/>
      <c r="J31" s="61"/>
      <c r="K31" s="61"/>
      <c r="L31" s="61"/>
      <c r="M31" s="63"/>
      <c r="N31" s="60"/>
      <c r="O31" s="61"/>
      <c r="P31" s="61"/>
      <c r="Q31" s="370"/>
      <c r="R31" s="371"/>
      <c r="S31" s="377" t="s">
        <v>95</v>
      </c>
      <c r="T31" s="378"/>
      <c r="U31" s="378"/>
      <c r="V31" s="378"/>
      <c r="W31" s="616">
        <v>29</v>
      </c>
      <c r="X31" s="617"/>
      <c r="Y31" s="60" t="s">
        <v>101</v>
      </c>
      <c r="Z31" s="61"/>
      <c r="AA31" s="61"/>
      <c r="AB31" s="61"/>
      <c r="AC31" s="618">
        <v>4</v>
      </c>
      <c r="AD31" s="619"/>
      <c r="AE31" s="388"/>
      <c r="AF31" s="389"/>
      <c r="AG31" s="6"/>
      <c r="AH31" s="16"/>
      <c r="AI31" s="16"/>
      <c r="AJ31" s="16"/>
      <c r="AK31" s="16"/>
      <c r="AL31" s="16"/>
      <c r="AM31" s="16"/>
      <c r="AY31" s="80"/>
      <c r="AZ31" s="80"/>
    </row>
    <row r="32" spans="1:52" s="14" customFormat="1" ht="15.6" customHeight="1" x14ac:dyDescent="0.15">
      <c r="A32" s="49"/>
      <c r="B32" s="634"/>
      <c r="C32" s="635"/>
      <c r="D32" s="377"/>
      <c r="E32" s="378"/>
      <c r="F32" s="378"/>
      <c r="G32" s="378"/>
      <c r="H32" s="59"/>
      <c r="I32" s="60"/>
      <c r="J32" s="61"/>
      <c r="K32" s="61"/>
      <c r="L32" s="61"/>
      <c r="M32" s="63"/>
      <c r="N32" s="60"/>
      <c r="O32" s="61"/>
      <c r="P32" s="61"/>
      <c r="Q32" s="370"/>
      <c r="R32" s="371"/>
      <c r="S32" s="377" t="s">
        <v>96</v>
      </c>
      <c r="T32" s="378"/>
      <c r="U32" s="378"/>
      <c r="V32" s="378"/>
      <c r="W32" s="616">
        <v>1</v>
      </c>
      <c r="X32" s="617"/>
      <c r="Y32" s="60" t="s">
        <v>103</v>
      </c>
      <c r="Z32" s="61"/>
      <c r="AA32" s="61"/>
      <c r="AB32" s="61"/>
      <c r="AC32" s="618">
        <v>22</v>
      </c>
      <c r="AD32" s="619"/>
      <c r="AE32" s="388"/>
      <c r="AF32" s="389"/>
      <c r="AG32" s="6"/>
      <c r="AH32" s="16"/>
      <c r="AI32" s="16"/>
      <c r="AJ32" s="16"/>
      <c r="AK32" s="16"/>
      <c r="AL32" s="16"/>
      <c r="AM32" s="16"/>
      <c r="AY32" s="80"/>
      <c r="AZ32" s="80"/>
    </row>
    <row r="33" spans="1:72" s="14" customFormat="1" ht="15.6" customHeight="1" x14ac:dyDescent="0.15">
      <c r="A33" s="49"/>
      <c r="B33" s="634"/>
      <c r="C33" s="635"/>
      <c r="D33" s="377"/>
      <c r="E33" s="378"/>
      <c r="F33" s="378"/>
      <c r="G33" s="378"/>
      <c r="H33" s="59"/>
      <c r="I33" s="60"/>
      <c r="J33" s="61"/>
      <c r="K33" s="61"/>
      <c r="L33" s="61"/>
      <c r="M33" s="63"/>
      <c r="N33" s="60"/>
      <c r="O33" s="61"/>
      <c r="P33" s="61"/>
      <c r="Q33" s="370"/>
      <c r="R33" s="371"/>
      <c r="S33" s="377" t="s">
        <v>80</v>
      </c>
      <c r="T33" s="378"/>
      <c r="U33" s="378"/>
      <c r="V33" s="378"/>
      <c r="W33" s="616">
        <v>112</v>
      </c>
      <c r="X33" s="617"/>
      <c r="Y33" s="60" t="s">
        <v>104</v>
      </c>
      <c r="Z33" s="61"/>
      <c r="AA33" s="61"/>
      <c r="AB33" s="61"/>
      <c r="AC33" s="618">
        <v>1</v>
      </c>
      <c r="AD33" s="619"/>
      <c r="AE33" s="388"/>
      <c r="AF33" s="389"/>
      <c r="AG33" s="6"/>
      <c r="AH33" s="16"/>
      <c r="AI33" s="16"/>
      <c r="AJ33" s="16"/>
      <c r="AK33" s="16"/>
      <c r="AL33" s="16"/>
      <c r="AM33" s="16"/>
      <c r="AY33" s="80"/>
      <c r="AZ33" s="80"/>
    </row>
    <row r="34" spans="1:72" s="3" customFormat="1" ht="15.6" customHeight="1" x14ac:dyDescent="0.15">
      <c r="A34" s="49"/>
      <c r="B34" s="634"/>
      <c r="C34" s="635"/>
      <c r="D34" s="377"/>
      <c r="E34" s="378"/>
      <c r="F34" s="378"/>
      <c r="G34" s="378"/>
      <c r="H34" s="59"/>
      <c r="I34" s="60"/>
      <c r="J34" s="61"/>
      <c r="K34" s="61"/>
      <c r="L34" s="61"/>
      <c r="M34" s="63"/>
      <c r="N34" s="60"/>
      <c r="O34" s="61"/>
      <c r="P34" s="61"/>
      <c r="Q34" s="370"/>
      <c r="R34" s="371"/>
      <c r="S34" s="377" t="s">
        <v>102</v>
      </c>
      <c r="T34" s="378"/>
      <c r="U34" s="378"/>
      <c r="V34" s="378"/>
      <c r="W34" s="616">
        <v>3</v>
      </c>
      <c r="X34" s="617"/>
      <c r="Y34" s="60" t="s">
        <v>105</v>
      </c>
      <c r="Z34" s="61"/>
      <c r="AA34" s="61"/>
      <c r="AB34" s="61"/>
      <c r="AC34" s="618">
        <v>45</v>
      </c>
      <c r="AD34" s="619"/>
      <c r="AE34" s="388"/>
      <c r="AF34" s="389"/>
      <c r="AG34" s="6"/>
      <c r="AH34" s="16"/>
      <c r="AI34" s="16"/>
      <c r="AJ34" s="16"/>
      <c r="AK34" s="16"/>
      <c r="AL34" s="16"/>
      <c r="AM34" s="16"/>
      <c r="AN34" s="14"/>
      <c r="AO34" s="14"/>
      <c r="AP34" s="14"/>
      <c r="AQ34" s="14"/>
      <c r="AR34" s="14"/>
      <c r="AS34" s="14"/>
      <c r="AT34" s="14"/>
      <c r="AU34" s="14"/>
      <c r="AY34" s="79"/>
      <c r="AZ34" s="79"/>
    </row>
    <row r="35" spans="1:72" s="2" customFormat="1" ht="15.6" customHeight="1" x14ac:dyDescent="0.15">
      <c r="A35" s="49"/>
      <c r="B35" s="636"/>
      <c r="C35" s="637"/>
      <c r="D35" s="628"/>
      <c r="E35" s="629"/>
      <c r="F35" s="629"/>
      <c r="G35" s="629"/>
      <c r="H35" s="64"/>
      <c r="I35" s="65"/>
      <c r="J35" s="66"/>
      <c r="K35" s="66"/>
      <c r="L35" s="66"/>
      <c r="M35" s="67"/>
      <c r="N35" s="65"/>
      <c r="O35" s="66"/>
      <c r="P35" s="66"/>
      <c r="Q35" s="66"/>
      <c r="R35" s="67"/>
      <c r="S35" s="372" t="s">
        <v>24</v>
      </c>
      <c r="T35" s="373"/>
      <c r="U35" s="373"/>
      <c r="V35" s="373"/>
      <c r="W35" s="630">
        <v>48</v>
      </c>
      <c r="X35" s="631"/>
      <c r="Y35" s="65" t="s">
        <v>24</v>
      </c>
      <c r="Z35" s="68"/>
      <c r="AA35" s="66"/>
      <c r="AB35" s="66"/>
      <c r="AC35" s="630">
        <v>29</v>
      </c>
      <c r="AD35" s="631"/>
      <c r="AE35" s="386"/>
      <c r="AF35" s="387"/>
      <c r="AG35" s="8"/>
      <c r="AH35" s="16"/>
      <c r="AI35" s="16"/>
      <c r="AJ35" s="16"/>
      <c r="AK35" s="16"/>
      <c r="AL35" s="16"/>
      <c r="AM35" s="16"/>
      <c r="AN35" s="537"/>
      <c r="AO35" s="537"/>
      <c r="AP35" s="537"/>
      <c r="AQ35" s="537"/>
      <c r="AR35" s="537"/>
      <c r="AS35" s="537"/>
      <c r="AT35" s="537"/>
      <c r="AU35" s="537"/>
      <c r="AY35" s="81"/>
      <c r="AZ35" s="81"/>
    </row>
    <row r="36" spans="1:72" s="14" customFormat="1" ht="15.6" customHeight="1" x14ac:dyDescent="0.15">
      <c r="A36" s="382" t="s">
        <v>210</v>
      </c>
      <c r="B36" s="227"/>
      <c r="C36" s="25"/>
      <c r="D36" s="387"/>
      <c r="E36" s="387"/>
      <c r="F36" s="387"/>
      <c r="G36" s="387"/>
      <c r="H36" s="48"/>
      <c r="I36" s="387"/>
      <c r="J36" s="387"/>
      <c r="K36" s="387"/>
      <c r="L36" s="387"/>
      <c r="M36" s="48"/>
      <c r="N36" s="387"/>
      <c r="O36" s="387"/>
      <c r="P36" s="387"/>
      <c r="Q36" s="387"/>
      <c r="R36" s="22"/>
      <c r="S36" s="401"/>
      <c r="T36" s="387"/>
      <c r="U36" s="387"/>
      <c r="V36" s="387"/>
      <c r="W36" s="402"/>
      <c r="X36" s="402"/>
      <c r="Y36" s="26"/>
      <c r="Z36" s="26"/>
      <c r="AA36" s="401"/>
      <c r="AB36" s="401"/>
      <c r="AC36" s="401"/>
      <c r="AD36" s="402"/>
      <c r="AE36" s="387"/>
      <c r="AF36" s="387"/>
      <c r="AG36" s="387"/>
      <c r="AH36" s="16"/>
      <c r="AI36" s="16"/>
      <c r="AJ36" s="16"/>
      <c r="AK36" s="16"/>
      <c r="AL36" s="18"/>
      <c r="AM36" s="16"/>
      <c r="AN36" s="17"/>
      <c r="AO36" s="10"/>
      <c r="AP36" s="10"/>
      <c r="AQ36" s="74"/>
      <c r="AR36" s="9"/>
      <c r="AS36" s="9"/>
      <c r="AT36" s="9"/>
      <c r="AU36" s="10"/>
      <c r="AV36" s="9"/>
      <c r="AW36" s="9"/>
      <c r="AX36" s="9"/>
      <c r="AY36" s="82"/>
      <c r="AZ36" s="82"/>
      <c r="BA36" s="9"/>
      <c r="BB36" s="9"/>
      <c r="BC36" s="9"/>
      <c r="BD36" s="9"/>
      <c r="BE36" s="10"/>
      <c r="BF36" s="9"/>
      <c r="BG36" s="9"/>
      <c r="BH36" s="9"/>
      <c r="BI36" s="11"/>
      <c r="BJ36" s="11"/>
      <c r="BK36" s="12"/>
      <c r="BL36" s="9"/>
      <c r="BM36" s="9"/>
      <c r="BN36" s="9"/>
      <c r="BO36" s="11"/>
      <c r="BP36" s="9"/>
      <c r="BQ36" s="9"/>
      <c r="BR36" s="9"/>
      <c r="BS36" s="9"/>
      <c r="BT36" s="389"/>
    </row>
    <row r="37" spans="1:72" s="14" customFormat="1" ht="15.6" customHeight="1" x14ac:dyDescent="0.15">
      <c r="A37" s="52"/>
      <c r="B37" s="595" t="s">
        <v>14</v>
      </c>
      <c r="C37" s="595"/>
      <c r="D37" s="595" t="s">
        <v>15</v>
      </c>
      <c r="E37" s="595"/>
      <c r="F37" s="595"/>
      <c r="G37" s="595"/>
      <c r="H37" s="595"/>
      <c r="I37" s="595" t="s">
        <v>16</v>
      </c>
      <c r="J37" s="595"/>
      <c r="K37" s="595"/>
      <c r="L37" s="595"/>
      <c r="M37" s="595"/>
      <c r="N37" s="595" t="s">
        <v>17</v>
      </c>
      <c r="O37" s="595"/>
      <c r="P37" s="595"/>
      <c r="Q37" s="595"/>
      <c r="R37" s="595"/>
      <c r="S37" s="608" t="s">
        <v>18</v>
      </c>
      <c r="T37" s="609"/>
      <c r="U37" s="609"/>
      <c r="V37" s="609"/>
      <c r="W37" s="609"/>
      <c r="X37" s="610"/>
      <c r="Y37" s="608" t="s">
        <v>19</v>
      </c>
      <c r="Z37" s="609"/>
      <c r="AA37" s="609"/>
      <c r="AB37" s="609"/>
      <c r="AC37" s="609"/>
      <c r="AD37" s="610"/>
      <c r="AE37" s="608" t="s">
        <v>72</v>
      </c>
      <c r="AF37" s="609"/>
      <c r="AG37" s="610"/>
      <c r="AH37" s="16"/>
      <c r="AI37" s="16"/>
      <c r="AJ37" s="16"/>
      <c r="AK37" s="16"/>
      <c r="AL37" s="16"/>
      <c r="AM37" s="16"/>
      <c r="AY37" s="80"/>
      <c r="AZ37" s="80"/>
    </row>
    <row r="38" spans="1:72" s="3" customFormat="1" ht="15.6" customHeight="1" x14ac:dyDescent="0.15">
      <c r="A38" s="49"/>
      <c r="B38" s="611" t="s">
        <v>9</v>
      </c>
      <c r="C38" s="611"/>
      <c r="D38" s="612">
        <f>25+35+25+24+27+31+35+24</f>
        <v>226</v>
      </c>
      <c r="E38" s="612"/>
      <c r="F38" s="612"/>
      <c r="G38" s="612"/>
      <c r="H38" s="612"/>
      <c r="I38" s="612">
        <f>3+4+5+0+0+0+1+3</f>
        <v>16</v>
      </c>
      <c r="J38" s="612"/>
      <c r="K38" s="612"/>
      <c r="L38" s="612"/>
      <c r="M38" s="612"/>
      <c r="N38" s="612">
        <f>1+0+4+1+3+3+5+4</f>
        <v>21</v>
      </c>
      <c r="O38" s="612"/>
      <c r="P38" s="612"/>
      <c r="Q38" s="612"/>
      <c r="R38" s="612"/>
      <c r="S38" s="638">
        <f>22+28+20+24+23+26+20+30</f>
        <v>193</v>
      </c>
      <c r="T38" s="639"/>
      <c r="U38" s="639"/>
      <c r="V38" s="639"/>
      <c r="W38" s="639"/>
      <c r="X38" s="640"/>
      <c r="Y38" s="638">
        <f>22+22+27+26+21+36+17+23</f>
        <v>194</v>
      </c>
      <c r="Z38" s="639"/>
      <c r="AA38" s="639"/>
      <c r="AB38" s="639"/>
      <c r="AC38" s="639"/>
      <c r="AD38" s="640"/>
      <c r="AE38" s="613">
        <f>S38-Y38</f>
        <v>-1</v>
      </c>
      <c r="AF38" s="614"/>
      <c r="AG38" s="615"/>
      <c r="AH38" s="537"/>
      <c r="AI38" s="537"/>
      <c r="AJ38" s="888"/>
      <c r="AK38" s="888"/>
      <c r="AL38" s="888"/>
      <c r="AM38" s="888"/>
      <c r="AN38" s="18"/>
      <c r="AO38" s="14"/>
      <c r="AP38" s="14"/>
      <c r="AQ38" s="14"/>
      <c r="AR38" s="14"/>
      <c r="AS38" s="14"/>
      <c r="AT38" s="14"/>
      <c r="AU38" s="14"/>
      <c r="AY38" s="79"/>
      <c r="AZ38" s="79"/>
    </row>
    <row r="39" spans="1:72" s="3" customFormat="1" ht="15.6" customHeight="1" x14ac:dyDescent="0.15">
      <c r="A39" s="49"/>
      <c r="B39" s="632" t="s">
        <v>202</v>
      </c>
      <c r="C39" s="633"/>
      <c r="D39" s="624"/>
      <c r="E39" s="625"/>
      <c r="F39" s="625"/>
      <c r="G39" s="626"/>
      <c r="H39" s="627"/>
      <c r="I39" s="57" t="s">
        <v>22</v>
      </c>
      <c r="J39" s="58"/>
      <c r="K39" s="58"/>
      <c r="L39" s="622">
        <f>1+1+1</f>
        <v>3</v>
      </c>
      <c r="M39" s="623"/>
      <c r="N39" s="57" t="s">
        <v>62</v>
      </c>
      <c r="O39" s="58"/>
      <c r="P39" s="58"/>
      <c r="Q39" s="622">
        <f>1+2+0+0+3+3+1+1</f>
        <v>11</v>
      </c>
      <c r="R39" s="623"/>
      <c r="S39" s="375" t="s">
        <v>23</v>
      </c>
      <c r="T39" s="376"/>
      <c r="U39" s="376"/>
      <c r="V39" s="376"/>
      <c r="W39" s="622">
        <f>2+5+5+2+0+1+2+0</f>
        <v>17</v>
      </c>
      <c r="X39" s="623"/>
      <c r="Y39" s="57" t="s">
        <v>97</v>
      </c>
      <c r="Z39" s="376"/>
      <c r="AA39" s="376"/>
      <c r="AB39" s="376"/>
      <c r="AC39" s="622">
        <f>0+0+0+0+0+0+0+0</f>
        <v>0</v>
      </c>
      <c r="AD39" s="623"/>
      <c r="AE39" s="390"/>
      <c r="AF39" s="391"/>
      <c r="AG39" s="5"/>
      <c r="AH39" s="16"/>
      <c r="AI39" s="16"/>
      <c r="AJ39" s="643"/>
      <c r="AK39" s="643"/>
      <c r="AL39" s="643"/>
      <c r="AM39" s="643"/>
      <c r="AN39" s="14"/>
      <c r="AO39" s="14"/>
      <c r="AP39" s="14"/>
      <c r="AQ39" s="14"/>
      <c r="AR39" s="14"/>
      <c r="AS39" s="14"/>
      <c r="AT39" s="14"/>
      <c r="AU39" s="14"/>
      <c r="AY39" s="79"/>
      <c r="AZ39" s="79"/>
    </row>
    <row r="40" spans="1:72" s="3" customFormat="1" ht="15.6" customHeight="1" x14ac:dyDescent="0.15">
      <c r="A40" s="49"/>
      <c r="B40" s="634"/>
      <c r="C40" s="635"/>
      <c r="D40" s="620"/>
      <c r="E40" s="621"/>
      <c r="F40" s="621"/>
      <c r="G40" s="621"/>
      <c r="H40" s="59"/>
      <c r="I40" s="60" t="s">
        <v>0</v>
      </c>
      <c r="J40" s="61"/>
      <c r="K40" s="61"/>
      <c r="L40" s="616">
        <f>1+0+1</f>
        <v>2</v>
      </c>
      <c r="M40" s="617"/>
      <c r="N40" s="60" t="s">
        <v>3</v>
      </c>
      <c r="O40" s="61"/>
      <c r="P40" s="61"/>
      <c r="Q40" s="616">
        <f>0+0+0+0+0+0+3+1</f>
        <v>4</v>
      </c>
      <c r="R40" s="617"/>
      <c r="S40" s="377" t="s">
        <v>90</v>
      </c>
      <c r="T40" s="378"/>
      <c r="U40" s="378"/>
      <c r="V40" s="378"/>
      <c r="W40" s="616">
        <f>0+0+0+0+0+0+0+0</f>
        <v>0</v>
      </c>
      <c r="X40" s="617"/>
      <c r="Y40" s="60" t="s">
        <v>4</v>
      </c>
      <c r="Z40" s="61"/>
      <c r="AA40" s="61"/>
      <c r="AB40" s="61"/>
      <c r="AC40" s="616">
        <f>12+7+12+10+9+10+7+12</f>
        <v>79</v>
      </c>
      <c r="AD40" s="617"/>
      <c r="AE40" s="388"/>
      <c r="AF40" s="389"/>
      <c r="AG40" s="6"/>
      <c r="AH40" s="16"/>
      <c r="AI40" s="16"/>
      <c r="AJ40" s="16"/>
      <c r="AK40" s="16"/>
      <c r="AL40" s="16"/>
      <c r="AM40" s="16"/>
      <c r="AN40" s="14"/>
      <c r="AO40" s="14"/>
      <c r="AP40" s="14"/>
      <c r="AQ40" s="14"/>
      <c r="AR40" s="14"/>
      <c r="AS40" s="14"/>
      <c r="AT40" s="14"/>
      <c r="AU40" s="14"/>
      <c r="AY40" s="79"/>
      <c r="AZ40" s="79"/>
    </row>
    <row r="41" spans="1:72" s="3" customFormat="1" ht="15.6" customHeight="1" x14ac:dyDescent="0.15">
      <c r="A41" s="49"/>
      <c r="B41" s="634"/>
      <c r="C41" s="635"/>
      <c r="D41" s="620"/>
      <c r="E41" s="621"/>
      <c r="F41" s="621"/>
      <c r="G41" s="621"/>
      <c r="H41" s="59"/>
      <c r="I41" s="60" t="s">
        <v>61</v>
      </c>
      <c r="J41" s="61"/>
      <c r="K41" s="61"/>
      <c r="L41" s="616">
        <f>0+0+1</f>
        <v>1</v>
      </c>
      <c r="M41" s="617"/>
      <c r="N41" s="60" t="s">
        <v>0</v>
      </c>
      <c r="O41" s="61"/>
      <c r="P41" s="61"/>
      <c r="Q41" s="616">
        <f>0+0+0+0+0+0+0</f>
        <v>0</v>
      </c>
      <c r="R41" s="617"/>
      <c r="S41" s="377" t="s">
        <v>91</v>
      </c>
      <c r="T41" s="378"/>
      <c r="U41" s="378"/>
      <c r="V41" s="378"/>
      <c r="W41" s="616">
        <f>1+1+0+1+2+4+0+0</f>
        <v>9</v>
      </c>
      <c r="X41" s="617"/>
      <c r="Y41" s="60" t="s">
        <v>2</v>
      </c>
      <c r="Z41" s="62"/>
      <c r="AA41" s="62"/>
      <c r="AB41" s="62"/>
      <c r="AC41" s="616">
        <f>1+2+1+0+0+2+1+0</f>
        <v>7</v>
      </c>
      <c r="AD41" s="617"/>
      <c r="AE41" s="388"/>
      <c r="AF41" s="389"/>
      <c r="AG41" s="6"/>
      <c r="AH41" s="16"/>
      <c r="AI41" s="16"/>
      <c r="AJ41" s="643"/>
      <c r="AK41" s="643"/>
      <c r="AL41" s="643"/>
      <c r="AM41" s="643"/>
      <c r="AN41" s="14"/>
      <c r="AO41" s="14"/>
      <c r="AP41" s="14"/>
      <c r="AQ41" s="14"/>
      <c r="AR41" s="14"/>
      <c r="AS41" s="14"/>
      <c r="AT41" s="14"/>
      <c r="AU41" s="14"/>
      <c r="AY41" s="79"/>
      <c r="AZ41" s="79"/>
    </row>
    <row r="42" spans="1:72" s="3" customFormat="1" ht="15.6" customHeight="1" x14ac:dyDescent="0.15">
      <c r="A42" s="49"/>
      <c r="B42" s="634"/>
      <c r="C42" s="635"/>
      <c r="D42" s="620"/>
      <c r="E42" s="621"/>
      <c r="F42" s="621"/>
      <c r="G42" s="621"/>
      <c r="H42" s="59"/>
      <c r="I42" s="60" t="s">
        <v>60</v>
      </c>
      <c r="J42" s="61"/>
      <c r="K42" s="61"/>
      <c r="L42" s="616">
        <f>1+3+5+1</f>
        <v>10</v>
      </c>
      <c r="M42" s="617"/>
      <c r="N42" s="60" t="s">
        <v>4</v>
      </c>
      <c r="O42" s="61"/>
      <c r="P42" s="61"/>
      <c r="Q42" s="616">
        <f>0+0+0+0+0+0+0</f>
        <v>0</v>
      </c>
      <c r="R42" s="617"/>
      <c r="S42" s="377" t="s">
        <v>92</v>
      </c>
      <c r="T42" s="378"/>
      <c r="U42" s="378"/>
      <c r="V42" s="378"/>
      <c r="W42" s="616">
        <f>6+2+1+3+1+1+2+0</f>
        <v>16</v>
      </c>
      <c r="X42" s="617"/>
      <c r="Y42" s="60" t="s">
        <v>98</v>
      </c>
      <c r="Z42" s="61"/>
      <c r="AA42" s="61"/>
      <c r="AB42" s="61"/>
      <c r="AC42" s="616">
        <f>1+3+4+2+3+5+2+3</f>
        <v>23</v>
      </c>
      <c r="AD42" s="617"/>
      <c r="AE42" s="388"/>
      <c r="AF42" s="389"/>
      <c r="AG42" s="6"/>
      <c r="AH42" s="16"/>
      <c r="AI42" s="541"/>
      <c r="AJ42" s="16"/>
      <c r="AK42" s="16"/>
      <c r="AL42" s="16"/>
      <c r="AM42" s="16"/>
      <c r="AN42" s="14"/>
      <c r="AO42" s="14"/>
      <c r="AP42" s="14"/>
      <c r="AQ42" s="14"/>
      <c r="AR42" s="14"/>
      <c r="AS42" s="14"/>
      <c r="AT42" s="14"/>
      <c r="AU42" s="14"/>
      <c r="AY42" s="79"/>
      <c r="AZ42" s="79"/>
    </row>
    <row r="43" spans="1:72" s="3" customFormat="1" ht="15.6" customHeight="1" x14ac:dyDescent="0.15">
      <c r="A43" s="49"/>
      <c r="B43" s="634"/>
      <c r="C43" s="635"/>
      <c r="D43" s="620"/>
      <c r="E43" s="621"/>
      <c r="F43" s="621"/>
      <c r="G43" s="621"/>
      <c r="H43" s="59"/>
      <c r="I43" s="60"/>
      <c r="J43" s="61"/>
      <c r="K43" s="61"/>
      <c r="L43" s="61"/>
      <c r="M43" s="63"/>
      <c r="N43" s="60" t="s">
        <v>60</v>
      </c>
      <c r="O43" s="61"/>
      <c r="P43" s="61"/>
      <c r="Q43" s="616">
        <f>0+2+1+0+0+0+1+2</f>
        <v>6</v>
      </c>
      <c r="R43" s="617"/>
      <c r="S43" s="377" t="s">
        <v>94</v>
      </c>
      <c r="T43" s="378"/>
      <c r="U43" s="378"/>
      <c r="V43" s="378"/>
      <c r="W43" s="616">
        <f>0+0+0+0+1+1+0+0</f>
        <v>2</v>
      </c>
      <c r="X43" s="617"/>
      <c r="Y43" s="60" t="s">
        <v>99</v>
      </c>
      <c r="Z43" s="61"/>
      <c r="AA43" s="61"/>
      <c r="AB43" s="61"/>
      <c r="AC43" s="618">
        <f>0+0+0+0+0+2+1+0</f>
        <v>3</v>
      </c>
      <c r="AD43" s="619"/>
      <c r="AE43" s="388"/>
      <c r="AF43" s="389"/>
      <c r="AG43" s="6"/>
      <c r="AH43" s="16"/>
      <c r="AI43" s="541"/>
      <c r="AJ43" s="16"/>
      <c r="AK43" s="16"/>
      <c r="AL43" s="16"/>
      <c r="AM43" s="16"/>
      <c r="AN43" s="14"/>
      <c r="AO43" s="14"/>
      <c r="AP43" s="14"/>
      <c r="AQ43" s="14"/>
      <c r="AR43" s="14"/>
      <c r="AS43" s="14"/>
      <c r="AT43" s="14"/>
      <c r="AU43" s="14"/>
      <c r="AY43" s="79"/>
      <c r="AZ43" s="79"/>
    </row>
    <row r="44" spans="1:72" s="3" customFormat="1" ht="15.6" customHeight="1" x14ac:dyDescent="0.15">
      <c r="A44" s="49"/>
      <c r="B44" s="634"/>
      <c r="C44" s="635"/>
      <c r="D44" s="377"/>
      <c r="E44" s="378"/>
      <c r="F44" s="378"/>
      <c r="G44" s="378"/>
      <c r="H44" s="59"/>
      <c r="I44" s="60"/>
      <c r="J44" s="61"/>
      <c r="K44" s="61"/>
      <c r="L44" s="61"/>
      <c r="M44" s="63"/>
      <c r="N44" s="60"/>
      <c r="O44" s="61"/>
      <c r="P44" s="61"/>
      <c r="Q44" s="370"/>
      <c r="R44" s="371"/>
      <c r="S44" s="377" t="s">
        <v>93</v>
      </c>
      <c r="T44" s="378"/>
      <c r="U44" s="378"/>
      <c r="V44" s="378"/>
      <c r="W44" s="616">
        <f>0+0+0+0+0+0+0+1</f>
        <v>1</v>
      </c>
      <c r="X44" s="617"/>
      <c r="Y44" s="60" t="s">
        <v>100</v>
      </c>
      <c r="Z44" s="61"/>
      <c r="AA44" s="61"/>
      <c r="AB44" s="61"/>
      <c r="AC44" s="618">
        <f>0+1+0+3+0+0+1+0</f>
        <v>5</v>
      </c>
      <c r="AD44" s="619"/>
      <c r="AE44" s="388"/>
      <c r="AF44" s="389"/>
      <c r="AG44" s="6"/>
      <c r="AH44" s="16"/>
      <c r="AI44" s="541"/>
      <c r="AJ44" s="16"/>
      <c r="AK44" s="16"/>
      <c r="AL44" s="16"/>
      <c r="AM44" s="16"/>
      <c r="AN44" s="14"/>
      <c r="AO44" s="14"/>
      <c r="AP44" s="14"/>
      <c r="AQ44" s="14"/>
      <c r="AR44" s="14"/>
      <c r="AS44" s="14"/>
      <c r="AT44" s="14"/>
      <c r="AU44" s="14"/>
      <c r="AY44" s="79"/>
      <c r="AZ44" s="79"/>
    </row>
    <row r="45" spans="1:72" s="3" customFormat="1" ht="15.6" customHeight="1" x14ac:dyDescent="0.15">
      <c r="A45" s="49"/>
      <c r="B45" s="634"/>
      <c r="C45" s="635"/>
      <c r="D45" s="377"/>
      <c r="E45" s="378"/>
      <c r="F45" s="378"/>
      <c r="G45" s="378"/>
      <c r="H45" s="59"/>
      <c r="I45" s="60"/>
      <c r="J45" s="61"/>
      <c r="K45" s="61"/>
      <c r="L45" s="61"/>
      <c r="M45" s="63"/>
      <c r="N45" s="60"/>
      <c r="O45" s="61"/>
      <c r="P45" s="61"/>
      <c r="Q45" s="370"/>
      <c r="R45" s="371"/>
      <c r="S45" s="377" t="s">
        <v>95</v>
      </c>
      <c r="T45" s="378"/>
      <c r="U45" s="378"/>
      <c r="V45" s="378"/>
      <c r="W45" s="616">
        <f>0+3+4+3+0+0+0+0</f>
        <v>10</v>
      </c>
      <c r="X45" s="617"/>
      <c r="Y45" s="60" t="s">
        <v>101</v>
      </c>
      <c r="Z45" s="61"/>
      <c r="AA45" s="61"/>
      <c r="AB45" s="61"/>
      <c r="AC45" s="618">
        <f>0+0+0+0+1+0+0+0</f>
        <v>1</v>
      </c>
      <c r="AD45" s="619"/>
      <c r="AE45" s="388"/>
      <c r="AF45" s="389"/>
      <c r="AG45" s="6"/>
      <c r="AH45" s="16"/>
      <c r="AI45" s="541"/>
      <c r="AJ45" s="16"/>
      <c r="AK45" s="16"/>
      <c r="AL45" s="16"/>
      <c r="AM45" s="16"/>
      <c r="AN45" s="14"/>
      <c r="AO45" s="14"/>
      <c r="AP45" s="14"/>
      <c r="AQ45" s="14"/>
      <c r="AR45" s="14"/>
      <c r="AS45" s="14"/>
      <c r="AT45" s="14"/>
      <c r="AU45" s="14"/>
      <c r="AY45" s="79"/>
      <c r="AZ45" s="79"/>
    </row>
    <row r="46" spans="1:72" s="3" customFormat="1" ht="15.6" customHeight="1" x14ac:dyDescent="0.15">
      <c r="A46" s="49"/>
      <c r="B46" s="634"/>
      <c r="C46" s="635"/>
      <c r="D46" s="377"/>
      <c r="E46" s="378"/>
      <c r="F46" s="378"/>
      <c r="G46" s="378"/>
      <c r="H46" s="59"/>
      <c r="I46" s="60"/>
      <c r="J46" s="61"/>
      <c r="K46" s="61"/>
      <c r="L46" s="61"/>
      <c r="M46" s="63"/>
      <c r="N46" s="60"/>
      <c r="O46" s="61"/>
      <c r="P46" s="61"/>
      <c r="Q46" s="370"/>
      <c r="R46" s="371"/>
      <c r="S46" s="377" t="s">
        <v>96</v>
      </c>
      <c r="T46" s="378"/>
      <c r="U46" s="378"/>
      <c r="V46" s="378"/>
      <c r="W46" s="616">
        <f>0+0+1+0+0+0+0+0</f>
        <v>1</v>
      </c>
      <c r="X46" s="617"/>
      <c r="Y46" s="60" t="s">
        <v>103</v>
      </c>
      <c r="Z46" s="61"/>
      <c r="AA46" s="61"/>
      <c r="AB46" s="61"/>
      <c r="AC46" s="618">
        <f>1+5+1+1+3+2+0+2</f>
        <v>15</v>
      </c>
      <c r="AD46" s="619"/>
      <c r="AE46" s="388"/>
      <c r="AF46" s="389"/>
      <c r="AG46" s="6"/>
      <c r="AH46" s="16"/>
      <c r="AI46" s="541"/>
      <c r="AJ46" s="16"/>
      <c r="AK46" s="16"/>
      <c r="AL46" s="16"/>
      <c r="AM46" s="16"/>
      <c r="AN46" s="14"/>
      <c r="AO46" s="14"/>
      <c r="AP46" s="14"/>
      <c r="AQ46" s="14"/>
      <c r="AR46" s="14"/>
      <c r="AS46" s="14"/>
      <c r="AT46" s="14"/>
      <c r="AU46" s="14"/>
      <c r="AY46" s="79"/>
      <c r="AZ46" s="79"/>
    </row>
    <row r="47" spans="1:72" s="3" customFormat="1" ht="15.6" customHeight="1" x14ac:dyDescent="0.15">
      <c r="A47" s="49"/>
      <c r="B47" s="634"/>
      <c r="C47" s="635"/>
      <c r="D47" s="377"/>
      <c r="E47" s="378"/>
      <c r="F47" s="378"/>
      <c r="G47" s="378"/>
      <c r="H47" s="59"/>
      <c r="I47" s="60"/>
      <c r="J47" s="61"/>
      <c r="K47" s="61"/>
      <c r="L47" s="61"/>
      <c r="M47" s="63"/>
      <c r="N47" s="60"/>
      <c r="O47" s="61"/>
      <c r="P47" s="61"/>
      <c r="Q47" s="370"/>
      <c r="R47" s="371"/>
      <c r="S47" s="377" t="s">
        <v>80</v>
      </c>
      <c r="T47" s="378"/>
      <c r="U47" s="378"/>
      <c r="V47" s="378"/>
      <c r="W47" s="616">
        <f>12+14+8+14+16+16+14+26</f>
        <v>120</v>
      </c>
      <c r="X47" s="617"/>
      <c r="Y47" s="60" t="s">
        <v>104</v>
      </c>
      <c r="Z47" s="61"/>
      <c r="AA47" s="61"/>
      <c r="AB47" s="61"/>
      <c r="AC47" s="618">
        <f>0+0+0+1+0+1+0+0</f>
        <v>2</v>
      </c>
      <c r="AD47" s="619"/>
      <c r="AE47" s="388"/>
      <c r="AF47" s="389"/>
      <c r="AG47" s="6"/>
      <c r="AH47" s="16"/>
      <c r="AI47" s="16"/>
      <c r="AJ47" s="16"/>
      <c r="AK47" s="16"/>
      <c r="AL47" s="16"/>
      <c r="AM47" s="16"/>
      <c r="AN47" s="14"/>
      <c r="AO47" s="14"/>
      <c r="AP47" s="14"/>
      <c r="AQ47" s="14"/>
      <c r="AR47" s="14"/>
      <c r="AS47" s="14"/>
      <c r="AT47" s="14"/>
      <c r="AU47" s="14"/>
      <c r="AY47" s="79"/>
      <c r="AZ47" s="79"/>
    </row>
    <row r="48" spans="1:72" s="3" customFormat="1" ht="15.6" customHeight="1" x14ac:dyDescent="0.15">
      <c r="A48" s="49"/>
      <c r="B48" s="634"/>
      <c r="C48" s="635"/>
      <c r="D48" s="377"/>
      <c r="E48" s="378"/>
      <c r="F48" s="378"/>
      <c r="G48" s="378"/>
      <c r="H48" s="59"/>
      <c r="I48" s="60"/>
      <c r="J48" s="61"/>
      <c r="K48" s="61"/>
      <c r="L48" s="61"/>
      <c r="M48" s="63"/>
      <c r="N48" s="60"/>
      <c r="O48" s="61"/>
      <c r="P48" s="61"/>
      <c r="Q48" s="370"/>
      <c r="R48" s="371"/>
      <c r="S48" s="377" t="s">
        <v>102</v>
      </c>
      <c r="T48" s="378"/>
      <c r="U48" s="378"/>
      <c r="V48" s="378"/>
      <c r="W48" s="616">
        <f>0+0+0+0+1+1+0+1</f>
        <v>3</v>
      </c>
      <c r="X48" s="617"/>
      <c r="Y48" s="60" t="s">
        <v>105</v>
      </c>
      <c r="Z48" s="61"/>
      <c r="AA48" s="61"/>
      <c r="AB48" s="61"/>
      <c r="AC48" s="618">
        <f>2+4+7+1+4+10+4+4</f>
        <v>36</v>
      </c>
      <c r="AD48" s="619"/>
      <c r="AE48" s="388"/>
      <c r="AF48" s="389"/>
      <c r="AG48" s="6"/>
      <c r="AH48" s="16"/>
      <c r="AI48" s="16"/>
      <c r="AJ48" s="16"/>
      <c r="AK48" s="16"/>
      <c r="AL48" s="16"/>
      <c r="AM48" s="16"/>
      <c r="AN48" s="14"/>
      <c r="AO48" s="14"/>
      <c r="AP48" s="14"/>
      <c r="AQ48" s="14"/>
      <c r="AR48" s="14"/>
      <c r="AS48" s="14"/>
      <c r="AT48" s="14"/>
      <c r="AU48" s="14"/>
      <c r="AY48" s="79"/>
      <c r="AZ48" s="79"/>
    </row>
    <row r="49" spans="1:52" s="3" customFormat="1" ht="15.6" customHeight="1" x14ac:dyDescent="0.15">
      <c r="A49" s="49"/>
      <c r="B49" s="636"/>
      <c r="C49" s="637"/>
      <c r="D49" s="628"/>
      <c r="E49" s="629"/>
      <c r="F49" s="629"/>
      <c r="G49" s="629"/>
      <c r="H49" s="64"/>
      <c r="I49" s="65"/>
      <c r="J49" s="66"/>
      <c r="K49" s="66"/>
      <c r="L49" s="66"/>
      <c r="M49" s="67"/>
      <c r="N49" s="65"/>
      <c r="O49" s="66"/>
      <c r="P49" s="66"/>
      <c r="Q49" s="66"/>
      <c r="R49" s="67"/>
      <c r="S49" s="372" t="s">
        <v>24</v>
      </c>
      <c r="T49" s="373"/>
      <c r="U49" s="373"/>
      <c r="V49" s="373"/>
      <c r="W49" s="630">
        <f>1+3+1+1+2+2+2+2</f>
        <v>14</v>
      </c>
      <c r="X49" s="631"/>
      <c r="Y49" s="65" t="s">
        <v>24</v>
      </c>
      <c r="Z49" s="68"/>
      <c r="AA49" s="66"/>
      <c r="AB49" s="66"/>
      <c r="AC49" s="630">
        <f>5+0+2+8+1+4+1+2</f>
        <v>23</v>
      </c>
      <c r="AD49" s="631"/>
      <c r="AE49" s="386"/>
      <c r="AF49" s="387"/>
      <c r="AG49" s="8"/>
      <c r="AH49" s="16"/>
      <c r="AI49" s="16"/>
      <c r="AJ49" s="16"/>
      <c r="AK49" s="16"/>
      <c r="AL49" s="16"/>
      <c r="AM49" s="16"/>
      <c r="AN49" s="14"/>
      <c r="AO49" s="14"/>
      <c r="AP49" s="14"/>
      <c r="AQ49" s="14"/>
      <c r="AR49" s="14"/>
      <c r="AS49" s="14"/>
      <c r="AT49" s="14"/>
      <c r="AU49" s="14"/>
      <c r="AY49" s="79"/>
      <c r="AZ49" s="79"/>
    </row>
    <row r="50" spans="1:52" s="3" customFormat="1" ht="15.6" customHeight="1" x14ac:dyDescent="0.15">
      <c r="A50" s="49"/>
      <c r="B50" s="396"/>
      <c r="C50" s="396"/>
      <c r="D50" s="389"/>
      <c r="E50" s="389"/>
      <c r="F50" s="389"/>
      <c r="G50" s="389"/>
      <c r="H50" s="389"/>
      <c r="I50" s="389"/>
      <c r="J50" s="389"/>
      <c r="K50" s="389"/>
      <c r="L50" s="389"/>
      <c r="M50" s="389"/>
      <c r="N50" s="389"/>
      <c r="O50" s="389"/>
      <c r="P50" s="399"/>
      <c r="Q50" s="399"/>
      <c r="R50" s="396"/>
      <c r="S50" s="389"/>
      <c r="T50" s="389"/>
      <c r="U50" s="389"/>
      <c r="V50" s="389"/>
      <c r="W50" s="397"/>
      <c r="X50" s="397"/>
      <c r="Y50" s="399"/>
      <c r="Z50" s="37"/>
      <c r="AA50" s="399"/>
      <c r="AB50" s="399"/>
      <c r="AC50" s="397"/>
      <c r="AD50" s="397"/>
      <c r="AE50" s="389"/>
      <c r="AF50" s="389"/>
      <c r="AG50" s="389"/>
      <c r="AH50" s="16"/>
      <c r="AI50" s="16"/>
      <c r="AJ50" s="16"/>
      <c r="AK50" s="16"/>
      <c r="AL50" s="16"/>
      <c r="AM50" s="16"/>
      <c r="AN50" s="14"/>
      <c r="AO50" s="14"/>
      <c r="AP50" s="14"/>
      <c r="AQ50" s="14"/>
      <c r="AR50" s="14"/>
      <c r="AS50" s="14"/>
      <c r="AT50" s="14"/>
      <c r="AU50" s="14"/>
      <c r="AY50" s="79"/>
      <c r="AZ50" s="79"/>
    </row>
    <row r="51" spans="1:52" s="3" customFormat="1" ht="15.6" customHeight="1" x14ac:dyDescent="0.15">
      <c r="A51" s="49"/>
      <c r="B51" s="396"/>
      <c r="C51" s="396"/>
      <c r="D51" s="389"/>
      <c r="E51" s="389"/>
      <c r="F51" s="389"/>
      <c r="G51" s="389"/>
      <c r="H51" s="389"/>
      <c r="I51" s="389"/>
      <c r="J51" s="389"/>
      <c r="K51" s="389"/>
      <c r="L51" s="389"/>
      <c r="M51" s="389"/>
      <c r="N51" s="389"/>
      <c r="O51" s="389"/>
      <c r="P51" s="399"/>
      <c r="Q51" s="399"/>
      <c r="R51" s="396"/>
      <c r="S51" s="389"/>
      <c r="T51" s="389"/>
      <c r="U51" s="389"/>
      <c r="V51" s="389"/>
      <c r="W51" s="397"/>
      <c r="X51" s="397"/>
      <c r="Y51" s="399"/>
      <c r="Z51" s="37"/>
      <c r="AA51" s="399"/>
      <c r="AB51" s="399"/>
      <c r="AC51" s="397"/>
      <c r="AD51" s="397"/>
      <c r="AE51" s="389"/>
      <c r="AF51" s="389"/>
      <c r="AG51" s="389"/>
      <c r="AH51" s="16"/>
      <c r="AI51" s="16"/>
      <c r="AJ51" s="16"/>
      <c r="AK51" s="16"/>
      <c r="AL51" s="16"/>
      <c r="AM51" s="16"/>
      <c r="AN51" s="14"/>
      <c r="AO51" s="14"/>
      <c r="AP51" s="14"/>
      <c r="AQ51" s="14"/>
      <c r="AR51" s="14"/>
      <c r="AS51" s="14"/>
      <c r="AT51" s="14"/>
      <c r="AU51" s="14"/>
      <c r="AY51" s="79"/>
      <c r="AZ51" s="79"/>
    </row>
    <row r="52" spans="1:52" s="3" customFormat="1" ht="15.6" customHeight="1" x14ac:dyDescent="0.15">
      <c r="A52" s="49"/>
      <c r="B52" s="396"/>
      <c r="C52" s="396"/>
      <c r="D52" s="389"/>
      <c r="E52" s="389"/>
      <c r="F52" s="389"/>
      <c r="G52" s="389"/>
      <c r="H52" s="389"/>
      <c r="I52" s="389"/>
      <c r="J52" s="389"/>
      <c r="K52" s="389"/>
      <c r="L52" s="389"/>
      <c r="M52" s="389"/>
      <c r="N52" s="389"/>
      <c r="O52" s="389"/>
      <c r="P52" s="399"/>
      <c r="Q52" s="399"/>
      <c r="R52" s="396"/>
      <c r="S52" s="389"/>
      <c r="T52" s="389"/>
      <c r="U52" s="389"/>
      <c r="V52" s="389"/>
      <c r="W52" s="397"/>
      <c r="X52" s="397"/>
      <c r="Y52" s="399"/>
      <c r="Z52" s="37"/>
      <c r="AA52" s="399"/>
      <c r="AB52" s="399"/>
      <c r="AC52" s="397"/>
      <c r="AD52" s="397"/>
      <c r="AE52" s="389"/>
      <c r="AF52" s="389"/>
      <c r="AG52" s="389"/>
      <c r="AH52" s="16"/>
      <c r="AI52" s="16"/>
      <c r="AJ52" s="16"/>
      <c r="AK52" s="16"/>
      <c r="AL52" s="16"/>
      <c r="AM52" s="16"/>
      <c r="AN52" s="14"/>
      <c r="AO52" s="14"/>
      <c r="AP52" s="14"/>
      <c r="AQ52" s="14"/>
      <c r="AR52" s="14"/>
      <c r="AS52" s="14"/>
      <c r="AT52" s="14"/>
      <c r="AU52" s="14"/>
      <c r="AY52" s="79"/>
      <c r="AZ52" s="79"/>
    </row>
    <row r="53" spans="1:52" s="3" customFormat="1" ht="15.6" customHeight="1" x14ac:dyDescent="0.15">
      <c r="A53" s="49"/>
      <c r="B53" s="396"/>
      <c r="C53" s="396"/>
      <c r="D53" s="389"/>
      <c r="E53" s="389"/>
      <c r="F53" s="389"/>
      <c r="G53" s="389"/>
      <c r="H53" s="389"/>
      <c r="I53" s="389"/>
      <c r="J53" s="389"/>
      <c r="K53" s="389"/>
      <c r="L53" s="389"/>
      <c r="M53" s="389"/>
      <c r="N53" s="389"/>
      <c r="O53" s="389"/>
      <c r="P53" s="399"/>
      <c r="Q53" s="399"/>
      <c r="R53" s="396"/>
      <c r="S53" s="389"/>
      <c r="T53" s="389"/>
      <c r="U53" s="389"/>
      <c r="V53" s="389"/>
      <c r="W53" s="397"/>
      <c r="X53" s="397"/>
      <c r="Y53" s="399"/>
      <c r="Z53" s="37"/>
      <c r="AA53" s="399"/>
      <c r="AB53" s="399"/>
      <c r="AC53" s="397"/>
      <c r="AD53" s="397"/>
      <c r="AE53" s="389"/>
      <c r="AF53" s="389"/>
      <c r="AG53" s="389"/>
      <c r="AH53" s="16"/>
      <c r="AI53" s="16"/>
      <c r="AJ53" s="16"/>
      <c r="AK53" s="16"/>
      <c r="AL53" s="16"/>
      <c r="AM53" s="16"/>
      <c r="AN53" s="14"/>
      <c r="AO53" s="14"/>
      <c r="AP53" s="14"/>
      <c r="AQ53" s="14"/>
      <c r="AR53" s="14"/>
      <c r="AS53" s="14"/>
      <c r="AT53" s="14"/>
      <c r="AU53" s="14"/>
      <c r="AY53" s="79"/>
      <c r="AZ53" s="79"/>
    </row>
    <row r="54" spans="1:52" s="3" customFormat="1" ht="15.6" customHeight="1" x14ac:dyDescent="0.15">
      <c r="A54" s="49"/>
      <c r="B54" s="396"/>
      <c r="C54" s="396"/>
      <c r="D54" s="389"/>
      <c r="E54" s="389"/>
      <c r="F54" s="389"/>
      <c r="G54" s="389"/>
      <c r="H54" s="389"/>
      <c r="I54" s="389"/>
      <c r="J54" s="389"/>
      <c r="K54" s="389"/>
      <c r="L54" s="389"/>
      <c r="M54" s="389"/>
      <c r="N54" s="389"/>
      <c r="O54" s="389"/>
      <c r="P54" s="399"/>
      <c r="Q54" s="399"/>
      <c r="R54" s="396"/>
      <c r="S54" s="389"/>
      <c r="T54" s="389"/>
      <c r="U54" s="389"/>
      <c r="V54" s="389"/>
      <c r="W54" s="397"/>
      <c r="X54" s="397"/>
      <c r="Y54" s="399"/>
      <c r="Z54" s="37"/>
      <c r="AA54" s="399"/>
      <c r="AB54" s="399"/>
      <c r="AC54" s="397"/>
      <c r="AD54" s="397"/>
      <c r="AE54" s="389"/>
      <c r="AF54" s="389"/>
      <c r="AG54" s="389"/>
      <c r="AH54" s="16"/>
      <c r="AI54" s="16"/>
      <c r="AJ54" s="16"/>
      <c r="AK54" s="16"/>
      <c r="AL54" s="16"/>
      <c r="AM54" s="16"/>
      <c r="AN54" s="14"/>
      <c r="AO54" s="14"/>
      <c r="AP54" s="14"/>
      <c r="AQ54" s="14"/>
      <c r="AR54" s="14"/>
      <c r="AS54" s="14"/>
      <c r="AT54" s="14"/>
      <c r="AU54" s="14"/>
      <c r="AY54" s="79"/>
      <c r="AZ54" s="79"/>
    </row>
    <row r="55" spans="1:52" s="3" customFormat="1" ht="15.6" customHeight="1" x14ac:dyDescent="0.15">
      <c r="A55" s="50" t="s">
        <v>125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4"/>
      <c r="AO55" s="14"/>
      <c r="AP55" s="14"/>
      <c r="AQ55" s="14"/>
      <c r="AR55" s="14"/>
      <c r="AS55" s="14"/>
      <c r="AT55" s="14"/>
      <c r="AU55" s="14"/>
      <c r="AY55" s="79"/>
      <c r="AZ55" s="79"/>
    </row>
    <row r="56" spans="1:52" s="3" customFormat="1" ht="15.6" customHeight="1" x14ac:dyDescent="0.15">
      <c r="A56" s="54"/>
      <c r="B56" s="644" t="s">
        <v>25</v>
      </c>
      <c r="C56" s="645"/>
      <c r="D56" s="645"/>
      <c r="E56" s="646"/>
      <c r="F56" s="647" t="s">
        <v>26</v>
      </c>
      <c r="G56" s="647"/>
      <c r="H56" s="647"/>
      <c r="I56" s="647"/>
      <c r="J56" s="647" t="s">
        <v>83</v>
      </c>
      <c r="K56" s="647"/>
      <c r="L56" s="647"/>
      <c r="M56" s="647"/>
      <c r="N56" s="647" t="s">
        <v>27</v>
      </c>
      <c r="O56" s="647"/>
      <c r="P56" s="647"/>
      <c r="Q56" s="647"/>
      <c r="R56" s="647" t="s">
        <v>84</v>
      </c>
      <c r="S56" s="647"/>
      <c r="T56" s="647"/>
      <c r="U56" s="647"/>
      <c r="V56" s="647" t="s">
        <v>85</v>
      </c>
      <c r="W56" s="647"/>
      <c r="X56" s="647"/>
      <c r="Y56" s="647"/>
      <c r="Z56" s="647" t="s">
        <v>28</v>
      </c>
      <c r="AA56" s="647"/>
      <c r="AB56" s="647"/>
      <c r="AC56" s="647"/>
      <c r="AD56" s="644" t="s">
        <v>29</v>
      </c>
      <c r="AE56" s="645"/>
      <c r="AF56" s="645"/>
      <c r="AG56" s="646"/>
      <c r="AH56" s="16"/>
      <c r="AI56" s="16"/>
      <c r="AJ56" s="16"/>
      <c r="AK56" s="16"/>
      <c r="AL56" s="16"/>
      <c r="AM56" s="16"/>
      <c r="AN56" s="14"/>
      <c r="AO56" s="14"/>
      <c r="AP56" s="14"/>
      <c r="AQ56" s="14"/>
      <c r="AR56" s="14"/>
      <c r="AS56" s="14"/>
      <c r="AT56" s="14"/>
      <c r="AU56" s="14"/>
      <c r="AY56" s="79"/>
      <c r="AZ56" s="79"/>
    </row>
    <row r="57" spans="1:52" s="14" customFormat="1" ht="15.6" customHeight="1" x14ac:dyDescent="0.15">
      <c r="B57" s="655" t="s">
        <v>211</v>
      </c>
      <c r="C57" s="656"/>
      <c r="D57" s="656"/>
      <c r="E57" s="657"/>
      <c r="F57" s="650" t="s">
        <v>9</v>
      </c>
      <c r="G57" s="651"/>
      <c r="H57" s="651"/>
      <c r="I57" s="652"/>
      <c r="J57" s="638">
        <f>1279+3</f>
        <v>1282</v>
      </c>
      <c r="K57" s="639"/>
      <c r="L57" s="639"/>
      <c r="M57" s="640"/>
      <c r="N57" s="638">
        <v>110</v>
      </c>
      <c r="O57" s="639"/>
      <c r="P57" s="639"/>
      <c r="Q57" s="640"/>
      <c r="R57" s="638">
        <v>375</v>
      </c>
      <c r="S57" s="639"/>
      <c r="T57" s="639"/>
      <c r="U57" s="640"/>
      <c r="V57" s="638">
        <v>289</v>
      </c>
      <c r="W57" s="639"/>
      <c r="X57" s="639"/>
      <c r="Y57" s="640"/>
      <c r="Z57" s="638">
        <v>507</v>
      </c>
      <c r="AA57" s="639"/>
      <c r="AB57" s="639"/>
      <c r="AC57" s="640"/>
      <c r="AD57" s="638">
        <f>SUM(J57:AC57)</f>
        <v>2563</v>
      </c>
      <c r="AE57" s="639"/>
      <c r="AF57" s="639"/>
      <c r="AG57" s="640"/>
      <c r="AQ57" s="85"/>
      <c r="AR57" s="85"/>
      <c r="AY57" s="80"/>
      <c r="AZ57" s="80"/>
    </row>
    <row r="58" spans="1:52" s="14" customFormat="1" ht="15.6" customHeight="1" x14ac:dyDescent="0.15">
      <c r="B58" s="658"/>
      <c r="C58" s="659"/>
      <c r="D58" s="659"/>
      <c r="E58" s="660"/>
      <c r="F58" s="664" t="s">
        <v>30</v>
      </c>
      <c r="G58" s="665"/>
      <c r="H58" s="665"/>
      <c r="I58" s="666"/>
      <c r="J58" s="661">
        <f>J57/$AD$57</f>
        <v>0.50019508388607103</v>
      </c>
      <c r="K58" s="662"/>
      <c r="L58" s="662"/>
      <c r="M58" s="663"/>
      <c r="N58" s="661">
        <f>N57/$AD$57</f>
        <v>4.2918454935622317E-2</v>
      </c>
      <c r="O58" s="662"/>
      <c r="P58" s="662"/>
      <c r="Q58" s="663"/>
      <c r="R58" s="661">
        <f>R57/$AD$57</f>
        <v>0.1463129145532579</v>
      </c>
      <c r="S58" s="662"/>
      <c r="T58" s="662"/>
      <c r="U58" s="663"/>
      <c r="V58" s="661">
        <f>V57/$AD$57</f>
        <v>0.11275848614904409</v>
      </c>
      <c r="W58" s="662"/>
      <c r="X58" s="662"/>
      <c r="Y58" s="663"/>
      <c r="Z58" s="661">
        <f>Z57/$AD$57</f>
        <v>0.19781506047600469</v>
      </c>
      <c r="AA58" s="662"/>
      <c r="AB58" s="662"/>
      <c r="AC58" s="663"/>
      <c r="AD58" s="661">
        <v>1</v>
      </c>
      <c r="AE58" s="662"/>
      <c r="AF58" s="662"/>
      <c r="AG58" s="663"/>
      <c r="AJ58" s="84"/>
      <c r="AQ58" s="653"/>
      <c r="AR58" s="654"/>
      <c r="AY58" s="80"/>
      <c r="AZ58" s="80"/>
    </row>
    <row r="59" spans="1:52" s="14" customFormat="1" ht="15.6" customHeight="1" x14ac:dyDescent="0.15">
      <c r="B59" s="655" t="s">
        <v>161</v>
      </c>
      <c r="C59" s="656"/>
      <c r="D59" s="656"/>
      <c r="E59" s="657"/>
      <c r="F59" s="650" t="s">
        <v>9</v>
      </c>
      <c r="G59" s="651"/>
      <c r="H59" s="651"/>
      <c r="I59" s="652"/>
      <c r="J59" s="638">
        <v>1256</v>
      </c>
      <c r="K59" s="639"/>
      <c r="L59" s="639"/>
      <c r="M59" s="640"/>
      <c r="N59" s="638">
        <v>129</v>
      </c>
      <c r="O59" s="639"/>
      <c r="P59" s="639"/>
      <c r="Q59" s="640"/>
      <c r="R59" s="638">
        <v>373</v>
      </c>
      <c r="S59" s="639"/>
      <c r="T59" s="639"/>
      <c r="U59" s="640"/>
      <c r="V59" s="638">
        <v>286</v>
      </c>
      <c r="W59" s="639"/>
      <c r="X59" s="639"/>
      <c r="Y59" s="640"/>
      <c r="Z59" s="638">
        <v>510</v>
      </c>
      <c r="AA59" s="639"/>
      <c r="AB59" s="639"/>
      <c r="AC59" s="640"/>
      <c r="AD59" s="638">
        <v>2554</v>
      </c>
      <c r="AE59" s="639"/>
      <c r="AF59" s="639"/>
      <c r="AG59" s="640"/>
      <c r="AJ59" s="84"/>
      <c r="AQ59" s="654"/>
      <c r="AR59" s="654"/>
      <c r="AY59" s="80"/>
      <c r="AZ59" s="80"/>
    </row>
    <row r="60" spans="1:52" s="14" customFormat="1" ht="15.6" customHeight="1" x14ac:dyDescent="0.15">
      <c r="B60" s="658"/>
      <c r="C60" s="659"/>
      <c r="D60" s="659"/>
      <c r="E60" s="660"/>
      <c r="F60" s="664" t="s">
        <v>30</v>
      </c>
      <c r="G60" s="665"/>
      <c r="H60" s="665"/>
      <c r="I60" s="666"/>
      <c r="J60" s="661">
        <v>0.49199999999999999</v>
      </c>
      <c r="K60" s="662"/>
      <c r="L60" s="662"/>
      <c r="M60" s="663"/>
      <c r="N60" s="661">
        <f>N59/AD59</f>
        <v>5.0509005481597494E-2</v>
      </c>
      <c r="O60" s="662"/>
      <c r="P60" s="662"/>
      <c r="Q60" s="663"/>
      <c r="R60" s="661">
        <v>0.14599999999999999</v>
      </c>
      <c r="S60" s="662"/>
      <c r="T60" s="662"/>
      <c r="U60" s="663"/>
      <c r="V60" s="661">
        <f>V59/AD59</f>
        <v>0.11198120595144871</v>
      </c>
      <c r="W60" s="662"/>
      <c r="X60" s="662"/>
      <c r="Y60" s="663"/>
      <c r="Z60" s="661">
        <v>0.19900000000000001</v>
      </c>
      <c r="AA60" s="662"/>
      <c r="AB60" s="662"/>
      <c r="AC60" s="663"/>
      <c r="AD60" s="661">
        <v>1</v>
      </c>
      <c r="AE60" s="662"/>
      <c r="AF60" s="662"/>
      <c r="AG60" s="663"/>
      <c r="AJ60" s="84"/>
      <c r="AQ60" s="654"/>
      <c r="AR60" s="654"/>
      <c r="AY60" s="80"/>
      <c r="AZ60" s="80"/>
    </row>
    <row r="61" spans="1:52" s="14" customFormat="1" ht="15.6" customHeight="1" x14ac:dyDescent="0.15">
      <c r="A61" s="16"/>
      <c r="B61" s="667" t="s">
        <v>31</v>
      </c>
      <c r="C61" s="668"/>
      <c r="D61" s="668"/>
      <c r="E61" s="669"/>
      <c r="F61" s="673" t="s">
        <v>9</v>
      </c>
      <c r="G61" s="673"/>
      <c r="H61" s="673"/>
      <c r="I61" s="673"/>
      <c r="J61" s="674">
        <f>J57-J59</f>
        <v>26</v>
      </c>
      <c r="K61" s="674"/>
      <c r="L61" s="674"/>
      <c r="M61" s="674"/>
      <c r="N61" s="674">
        <f>N57-N59</f>
        <v>-19</v>
      </c>
      <c r="O61" s="674"/>
      <c r="P61" s="674"/>
      <c r="Q61" s="674"/>
      <c r="R61" s="674">
        <f>R57-R59</f>
        <v>2</v>
      </c>
      <c r="S61" s="674"/>
      <c r="T61" s="674"/>
      <c r="U61" s="674"/>
      <c r="V61" s="674">
        <f>V57-V59</f>
        <v>3</v>
      </c>
      <c r="W61" s="674"/>
      <c r="X61" s="674"/>
      <c r="Y61" s="674"/>
      <c r="Z61" s="674">
        <f>Z57-Z59</f>
        <v>-3</v>
      </c>
      <c r="AA61" s="674"/>
      <c r="AB61" s="674"/>
      <c r="AC61" s="674"/>
      <c r="AD61" s="675">
        <f>SUM(J61:AC61)</f>
        <v>9</v>
      </c>
      <c r="AE61" s="676"/>
      <c r="AF61" s="676"/>
      <c r="AG61" s="677"/>
      <c r="AH61" s="16"/>
      <c r="AI61" s="16"/>
      <c r="AJ61" s="16"/>
      <c r="AK61" s="16"/>
      <c r="AL61" s="16"/>
      <c r="AM61" s="16"/>
      <c r="AQ61" s="654"/>
      <c r="AR61" s="654"/>
      <c r="AY61" s="80"/>
      <c r="AZ61" s="80"/>
    </row>
    <row r="62" spans="1:52" s="14" customFormat="1" ht="15.6" customHeight="1" x14ac:dyDescent="0.15">
      <c r="A62" s="16"/>
      <c r="B62" s="670"/>
      <c r="C62" s="671"/>
      <c r="D62" s="671"/>
      <c r="E62" s="672"/>
      <c r="F62" s="692" t="s">
        <v>32</v>
      </c>
      <c r="G62" s="692"/>
      <c r="H62" s="692"/>
      <c r="I62" s="692"/>
      <c r="J62" s="693">
        <f>J57/J59</f>
        <v>1.0207006369426752</v>
      </c>
      <c r="K62" s="693"/>
      <c r="L62" s="693"/>
      <c r="M62" s="693"/>
      <c r="N62" s="693">
        <f>N57/N59</f>
        <v>0.8527131782945736</v>
      </c>
      <c r="O62" s="693"/>
      <c r="P62" s="693"/>
      <c r="Q62" s="693"/>
      <c r="R62" s="693">
        <f>R57/R59</f>
        <v>1.0053619302949062</v>
      </c>
      <c r="S62" s="693"/>
      <c r="T62" s="693"/>
      <c r="U62" s="693"/>
      <c r="V62" s="693">
        <f>V57/V59</f>
        <v>1.0104895104895104</v>
      </c>
      <c r="W62" s="693"/>
      <c r="X62" s="693"/>
      <c r="Y62" s="693"/>
      <c r="Z62" s="693">
        <f>Z57/Z59</f>
        <v>0.99411764705882355</v>
      </c>
      <c r="AA62" s="693"/>
      <c r="AB62" s="693"/>
      <c r="AC62" s="693"/>
      <c r="AD62" s="694">
        <f>AD57/AD59</f>
        <v>1.0035238841033673</v>
      </c>
      <c r="AE62" s="695"/>
      <c r="AF62" s="695"/>
      <c r="AG62" s="696"/>
      <c r="AH62" s="16"/>
      <c r="AI62" s="16"/>
      <c r="AJ62" s="16"/>
      <c r="AK62" s="16"/>
      <c r="AL62" s="16"/>
      <c r="AM62" s="16"/>
      <c r="AQ62" s="654"/>
      <c r="AR62" s="654"/>
      <c r="AY62" s="80"/>
      <c r="AZ62" s="80"/>
    </row>
    <row r="63" spans="1:52" s="3" customFormat="1" ht="15.6" customHeight="1" x14ac:dyDescent="0.15">
      <c r="A63" s="49"/>
      <c r="B63" s="396"/>
      <c r="C63" s="396"/>
      <c r="D63" s="389"/>
      <c r="E63" s="389"/>
      <c r="F63" s="389"/>
      <c r="G63" s="389"/>
      <c r="H63" s="385"/>
      <c r="I63" s="399"/>
      <c r="J63" s="399"/>
      <c r="K63" s="399"/>
      <c r="L63" s="399"/>
      <c r="M63" s="396"/>
      <c r="N63" s="399"/>
      <c r="O63" s="399"/>
      <c r="P63" s="399"/>
      <c r="Q63" s="399"/>
      <c r="R63" s="396"/>
      <c r="S63" s="389"/>
      <c r="T63" s="389"/>
      <c r="U63" s="389"/>
      <c r="V63" s="389"/>
      <c r="W63" s="397"/>
      <c r="X63" s="397"/>
      <c r="Y63" s="399"/>
      <c r="Z63" s="37"/>
      <c r="AA63" s="399"/>
      <c r="AB63" s="399"/>
      <c r="AC63" s="397"/>
      <c r="AD63" s="397"/>
      <c r="AE63" s="389"/>
      <c r="AF63" s="389"/>
      <c r="AG63" s="389"/>
      <c r="AH63" s="16"/>
      <c r="AI63" s="16"/>
      <c r="AJ63" s="16"/>
      <c r="AK63" s="16"/>
      <c r="AL63" s="16"/>
      <c r="AM63" s="16"/>
      <c r="AN63" s="14"/>
      <c r="AO63" s="14"/>
      <c r="AP63" s="14"/>
      <c r="AQ63" s="654"/>
      <c r="AR63" s="654"/>
      <c r="AS63" s="14"/>
      <c r="AT63" s="14"/>
      <c r="AU63" s="14"/>
      <c r="AY63" s="79"/>
      <c r="AZ63" s="79"/>
    </row>
    <row r="64" spans="1:52" s="3" customFormat="1" ht="15.6" customHeight="1" x14ac:dyDescent="0.15">
      <c r="A64" s="56" t="s">
        <v>110</v>
      </c>
      <c r="B64" s="332"/>
      <c r="C64" s="332"/>
      <c r="D64" s="332"/>
      <c r="E64" s="332"/>
      <c r="F64" s="332"/>
      <c r="G64" s="333" t="s">
        <v>135</v>
      </c>
      <c r="H64" s="334"/>
      <c r="I64" s="334"/>
      <c r="J64" s="334"/>
      <c r="K64" s="334"/>
      <c r="L64" s="334"/>
      <c r="M64" s="334"/>
      <c r="N64" s="334"/>
      <c r="O64" s="36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380" t="s">
        <v>40</v>
      </c>
      <c r="AH64" s="16"/>
      <c r="AI64" s="16"/>
      <c r="AJ64" s="16"/>
      <c r="AK64" s="16"/>
      <c r="AL64" s="16"/>
      <c r="AM64" s="16"/>
      <c r="AN64" s="16"/>
      <c r="AO64" s="16"/>
      <c r="AP64" s="16"/>
      <c r="AQ64" s="654"/>
      <c r="AR64" s="654"/>
      <c r="AS64" s="16"/>
      <c r="AT64" s="16"/>
      <c r="AU64" s="16"/>
      <c r="AY64" s="79"/>
      <c r="AZ64" s="79"/>
    </row>
    <row r="65" spans="1:52" s="3" customFormat="1" ht="15.6" customHeight="1" x14ac:dyDescent="0.15">
      <c r="A65" s="49"/>
      <c r="B65" s="678" t="s">
        <v>25</v>
      </c>
      <c r="C65" s="679"/>
      <c r="D65" s="680"/>
      <c r="E65" s="684" t="s">
        <v>41</v>
      </c>
      <c r="F65" s="685"/>
      <c r="G65" s="686"/>
      <c r="H65" s="684" t="s">
        <v>42</v>
      </c>
      <c r="I65" s="685"/>
      <c r="J65" s="686"/>
      <c r="K65" s="684" t="s">
        <v>43</v>
      </c>
      <c r="L65" s="685"/>
      <c r="M65" s="690" t="s">
        <v>44</v>
      </c>
      <c r="N65" s="690"/>
      <c r="O65" s="690" t="s">
        <v>45</v>
      </c>
      <c r="P65" s="690"/>
      <c r="Q65" s="690"/>
      <c r="R65" s="684" t="s">
        <v>46</v>
      </c>
      <c r="S65" s="686"/>
      <c r="T65" s="684" t="s">
        <v>47</v>
      </c>
      <c r="U65" s="686"/>
      <c r="V65" s="690" t="s">
        <v>48</v>
      </c>
      <c r="W65" s="690"/>
      <c r="X65" s="690" t="s">
        <v>112</v>
      </c>
      <c r="Y65" s="690"/>
      <c r="Z65" s="684" t="s">
        <v>113</v>
      </c>
      <c r="AA65" s="685"/>
      <c r="AB65" s="686"/>
      <c r="AC65" s="697" t="s">
        <v>128</v>
      </c>
      <c r="AD65" s="698"/>
      <c r="AE65" s="684" t="s">
        <v>82</v>
      </c>
      <c r="AF65" s="685"/>
      <c r="AG65" s="686"/>
      <c r="AH65" s="16"/>
      <c r="AI65" s="16"/>
      <c r="AJ65" s="16"/>
      <c r="AK65" s="16"/>
      <c r="AL65" s="16"/>
      <c r="AM65" s="16"/>
      <c r="AN65" s="16"/>
      <c r="AO65" s="16"/>
      <c r="AP65" s="16"/>
      <c r="AQ65" s="654"/>
      <c r="AR65" s="654"/>
      <c r="AS65" s="16"/>
      <c r="AT65" s="16"/>
      <c r="AU65" s="16"/>
      <c r="AY65" s="79"/>
      <c r="AZ65" s="79"/>
    </row>
    <row r="66" spans="1:52" s="3" customFormat="1" ht="15.6" customHeight="1" x14ac:dyDescent="0.15">
      <c r="A66" s="49"/>
      <c r="B66" s="681"/>
      <c r="C66" s="682"/>
      <c r="D66" s="683"/>
      <c r="E66" s="687"/>
      <c r="F66" s="688"/>
      <c r="G66" s="689"/>
      <c r="H66" s="687"/>
      <c r="I66" s="688"/>
      <c r="J66" s="689"/>
      <c r="K66" s="687"/>
      <c r="L66" s="688"/>
      <c r="M66" s="691"/>
      <c r="N66" s="691"/>
      <c r="O66" s="691"/>
      <c r="P66" s="691"/>
      <c r="Q66" s="691"/>
      <c r="R66" s="687"/>
      <c r="S66" s="689"/>
      <c r="T66" s="687"/>
      <c r="U66" s="689"/>
      <c r="V66" s="691"/>
      <c r="W66" s="691"/>
      <c r="X66" s="691"/>
      <c r="Y66" s="691"/>
      <c r="Z66" s="687"/>
      <c r="AA66" s="688"/>
      <c r="AB66" s="689"/>
      <c r="AC66" s="699"/>
      <c r="AD66" s="700"/>
      <c r="AE66" s="687"/>
      <c r="AF66" s="688"/>
      <c r="AG66" s="689"/>
      <c r="AH66" s="16"/>
      <c r="AI66" s="16"/>
      <c r="AJ66" s="16"/>
      <c r="AK66" s="16"/>
      <c r="AL66" s="16"/>
      <c r="AM66" s="16"/>
      <c r="AN66" s="16"/>
      <c r="AO66" s="16"/>
      <c r="AP66" s="16"/>
      <c r="AQ66" s="654"/>
      <c r="AR66" s="654"/>
      <c r="AS66" s="16"/>
      <c r="AT66" s="16"/>
      <c r="AU66" s="16"/>
      <c r="AY66" s="79"/>
      <c r="AZ66" s="79"/>
    </row>
    <row r="67" spans="1:52" s="14" customFormat="1" ht="15.6" customHeight="1" x14ac:dyDescent="0.15">
      <c r="A67" s="400"/>
      <c r="B67" s="701" t="s">
        <v>86</v>
      </c>
      <c r="C67" s="702"/>
      <c r="D67" s="703"/>
      <c r="E67" s="667">
        <v>2247</v>
      </c>
      <c r="F67" s="668"/>
      <c r="G67" s="669"/>
      <c r="H67" s="667">
        <v>2354</v>
      </c>
      <c r="I67" s="668"/>
      <c r="J67" s="669"/>
      <c r="K67" s="667">
        <v>113</v>
      </c>
      <c r="L67" s="668"/>
      <c r="M67" s="673">
        <v>595</v>
      </c>
      <c r="N67" s="673"/>
      <c r="O67" s="673">
        <v>2154</v>
      </c>
      <c r="P67" s="673"/>
      <c r="Q67" s="673"/>
      <c r="R67" s="667">
        <v>1</v>
      </c>
      <c r="S67" s="669"/>
      <c r="T67" s="667">
        <v>61</v>
      </c>
      <c r="U67" s="669"/>
      <c r="V67" s="673">
        <v>15</v>
      </c>
      <c r="W67" s="673"/>
      <c r="X67" s="715">
        <v>10</v>
      </c>
      <c r="Y67" s="715"/>
      <c r="Z67" s="717">
        <v>0</v>
      </c>
      <c r="AA67" s="718"/>
      <c r="AB67" s="719"/>
      <c r="AC67" s="717">
        <v>0</v>
      </c>
      <c r="AD67" s="719"/>
      <c r="AE67" s="667">
        <f>SUM(E67:AD68)</f>
        <v>7550</v>
      </c>
      <c r="AF67" s="668"/>
      <c r="AG67" s="669"/>
      <c r="AH67" s="541"/>
      <c r="AI67" s="541"/>
      <c r="AJ67" s="541"/>
      <c r="AK67" s="541"/>
      <c r="AL67" s="541"/>
      <c r="AM67" s="541"/>
      <c r="AN67" s="541"/>
      <c r="AO67" s="541"/>
      <c r="AP67" s="541"/>
      <c r="AQ67" s="654"/>
      <c r="AR67" s="654"/>
      <c r="AS67" s="541"/>
      <c r="AT67" s="541"/>
      <c r="AU67" s="541"/>
      <c r="AY67" s="80"/>
      <c r="AZ67" s="80"/>
    </row>
    <row r="68" spans="1:52" s="14" customFormat="1" ht="15.6" customHeight="1" x14ac:dyDescent="0.15">
      <c r="A68" s="400"/>
      <c r="B68" s="711"/>
      <c r="C68" s="712"/>
      <c r="D68" s="713"/>
      <c r="E68" s="670"/>
      <c r="F68" s="671"/>
      <c r="G68" s="672"/>
      <c r="H68" s="670"/>
      <c r="I68" s="671"/>
      <c r="J68" s="672"/>
      <c r="K68" s="670"/>
      <c r="L68" s="671"/>
      <c r="M68" s="714"/>
      <c r="N68" s="714"/>
      <c r="O68" s="714"/>
      <c r="P68" s="714"/>
      <c r="Q68" s="714"/>
      <c r="R68" s="670"/>
      <c r="S68" s="672"/>
      <c r="T68" s="670"/>
      <c r="U68" s="672"/>
      <c r="V68" s="714"/>
      <c r="W68" s="714"/>
      <c r="X68" s="726"/>
      <c r="Y68" s="726"/>
      <c r="Z68" s="727"/>
      <c r="AA68" s="728"/>
      <c r="AB68" s="729"/>
      <c r="AC68" s="727"/>
      <c r="AD68" s="729"/>
      <c r="AE68" s="670"/>
      <c r="AF68" s="671"/>
      <c r="AG68" s="672"/>
      <c r="AH68" s="541"/>
      <c r="AI68" s="541"/>
      <c r="AJ68" s="541"/>
      <c r="AK68" s="541"/>
      <c r="AL68" s="541"/>
      <c r="AM68" s="541"/>
      <c r="AN68" s="541"/>
      <c r="AO68" s="541"/>
      <c r="AP68" s="541"/>
      <c r="AQ68" s="654"/>
      <c r="AR68" s="654"/>
      <c r="AS68" s="541"/>
      <c r="AT68" s="541"/>
      <c r="AU68" s="541"/>
      <c r="AY68" s="80"/>
      <c r="AZ68" s="80"/>
    </row>
    <row r="69" spans="1:52" s="14" customFormat="1" ht="15.6" customHeight="1" x14ac:dyDescent="0.15">
      <c r="A69" s="400"/>
      <c r="B69" s="701" t="s">
        <v>87</v>
      </c>
      <c r="C69" s="702"/>
      <c r="D69" s="703"/>
      <c r="E69" s="667">
        <v>2860</v>
      </c>
      <c r="F69" s="668"/>
      <c r="G69" s="669"/>
      <c r="H69" s="667">
        <v>2978</v>
      </c>
      <c r="I69" s="668"/>
      <c r="J69" s="669"/>
      <c r="K69" s="667">
        <v>162</v>
      </c>
      <c r="L69" s="668"/>
      <c r="M69" s="673">
        <v>616</v>
      </c>
      <c r="N69" s="673"/>
      <c r="O69" s="673">
        <v>2647</v>
      </c>
      <c r="P69" s="673"/>
      <c r="Q69" s="673"/>
      <c r="R69" s="667">
        <v>1</v>
      </c>
      <c r="S69" s="669"/>
      <c r="T69" s="667">
        <v>70</v>
      </c>
      <c r="U69" s="669"/>
      <c r="V69" s="673">
        <v>15</v>
      </c>
      <c r="W69" s="673"/>
      <c r="X69" s="715">
        <v>10</v>
      </c>
      <c r="Y69" s="715"/>
      <c r="Z69" s="717">
        <v>0</v>
      </c>
      <c r="AA69" s="718"/>
      <c r="AB69" s="719"/>
      <c r="AC69" s="717">
        <v>0</v>
      </c>
      <c r="AD69" s="719"/>
      <c r="AE69" s="723">
        <f>SUM(E69:AC70)</f>
        <v>9359</v>
      </c>
      <c r="AF69" s="724"/>
      <c r="AG69" s="725"/>
      <c r="AH69" s="541"/>
      <c r="AI69" s="541"/>
      <c r="AJ69" s="541"/>
      <c r="AK69" s="541"/>
      <c r="AL69" s="541"/>
      <c r="AM69" s="541"/>
      <c r="AN69" s="541"/>
      <c r="AO69" s="541"/>
      <c r="AP69" s="541"/>
      <c r="AQ69" s="86"/>
      <c r="AR69" s="86"/>
      <c r="AS69" s="541"/>
      <c r="AT69" s="541"/>
      <c r="AU69" s="541"/>
      <c r="AY69" s="80"/>
      <c r="AZ69" s="80"/>
    </row>
    <row r="70" spans="1:52" s="14" customFormat="1" ht="15.6" customHeight="1" thickBot="1" x14ac:dyDescent="0.2">
      <c r="A70" s="16"/>
      <c r="B70" s="704"/>
      <c r="C70" s="705"/>
      <c r="D70" s="706"/>
      <c r="E70" s="707"/>
      <c r="F70" s="708"/>
      <c r="G70" s="709"/>
      <c r="H70" s="707"/>
      <c r="I70" s="708"/>
      <c r="J70" s="709"/>
      <c r="K70" s="707"/>
      <c r="L70" s="708"/>
      <c r="M70" s="710"/>
      <c r="N70" s="710"/>
      <c r="O70" s="710"/>
      <c r="P70" s="710"/>
      <c r="Q70" s="710"/>
      <c r="R70" s="707"/>
      <c r="S70" s="709"/>
      <c r="T70" s="707"/>
      <c r="U70" s="709"/>
      <c r="V70" s="710"/>
      <c r="W70" s="710"/>
      <c r="X70" s="716"/>
      <c r="Y70" s="716"/>
      <c r="Z70" s="720"/>
      <c r="AA70" s="721"/>
      <c r="AB70" s="722"/>
      <c r="AC70" s="720"/>
      <c r="AD70" s="722"/>
      <c r="AE70" s="707"/>
      <c r="AF70" s="708"/>
      <c r="AG70" s="709"/>
      <c r="AH70" s="16"/>
      <c r="AI70" s="16"/>
      <c r="AJ70" s="16"/>
      <c r="AK70" s="16"/>
      <c r="AL70" s="16"/>
      <c r="AM70" s="16"/>
      <c r="AN70" s="16"/>
      <c r="AO70" s="16"/>
      <c r="AP70" s="16"/>
      <c r="AQ70" s="87"/>
      <c r="AR70" s="87"/>
      <c r="AS70" s="16"/>
      <c r="AT70" s="16"/>
      <c r="AU70" s="16"/>
      <c r="AY70" s="80"/>
      <c r="AZ70" s="80"/>
    </row>
    <row r="71" spans="1:52" s="14" customFormat="1" ht="15.6" customHeight="1" thickTop="1" x14ac:dyDescent="0.15">
      <c r="A71" s="16"/>
      <c r="B71" s="874" t="s">
        <v>204</v>
      </c>
      <c r="C71" s="875"/>
      <c r="D71" s="876"/>
      <c r="E71" s="847">
        <v>1815194</v>
      </c>
      <c r="F71" s="848"/>
      <c r="G71" s="849"/>
      <c r="H71" s="847">
        <v>1042131</v>
      </c>
      <c r="I71" s="848"/>
      <c r="J71" s="849"/>
      <c r="K71" s="847">
        <v>17140</v>
      </c>
      <c r="L71" s="848"/>
      <c r="M71" s="855">
        <v>207464</v>
      </c>
      <c r="N71" s="855"/>
      <c r="O71" s="855">
        <v>2887036</v>
      </c>
      <c r="P71" s="855"/>
      <c r="Q71" s="855"/>
      <c r="R71" s="847">
        <v>1155</v>
      </c>
      <c r="S71" s="849"/>
      <c r="T71" s="847">
        <v>11167</v>
      </c>
      <c r="U71" s="849"/>
      <c r="V71" s="855">
        <v>20551</v>
      </c>
      <c r="W71" s="855"/>
      <c r="X71" s="855">
        <v>24936</v>
      </c>
      <c r="Y71" s="855"/>
      <c r="Z71" s="847">
        <v>784</v>
      </c>
      <c r="AA71" s="848"/>
      <c r="AB71" s="849"/>
      <c r="AC71" s="870">
        <v>800</v>
      </c>
      <c r="AD71" s="871"/>
      <c r="AE71" s="847">
        <f>SUM(E71:AD72)</f>
        <v>6028358</v>
      </c>
      <c r="AF71" s="848"/>
      <c r="AG71" s="849"/>
      <c r="AH71" s="16"/>
      <c r="AI71" s="537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Y71" s="80"/>
      <c r="AZ71" s="80"/>
    </row>
    <row r="72" spans="1:52" s="14" customFormat="1" ht="15.6" customHeight="1" x14ac:dyDescent="0.15">
      <c r="A72" s="16"/>
      <c r="B72" s="877"/>
      <c r="C72" s="878"/>
      <c r="D72" s="879"/>
      <c r="E72" s="850"/>
      <c r="F72" s="851"/>
      <c r="G72" s="852"/>
      <c r="H72" s="850"/>
      <c r="I72" s="851"/>
      <c r="J72" s="852"/>
      <c r="K72" s="853"/>
      <c r="L72" s="854"/>
      <c r="M72" s="856"/>
      <c r="N72" s="856"/>
      <c r="O72" s="856"/>
      <c r="P72" s="856"/>
      <c r="Q72" s="856"/>
      <c r="R72" s="850"/>
      <c r="S72" s="852"/>
      <c r="T72" s="850"/>
      <c r="U72" s="852"/>
      <c r="V72" s="856"/>
      <c r="W72" s="856"/>
      <c r="X72" s="856"/>
      <c r="Y72" s="856"/>
      <c r="Z72" s="853"/>
      <c r="AA72" s="854"/>
      <c r="AB72" s="864"/>
      <c r="AC72" s="872"/>
      <c r="AD72" s="873"/>
      <c r="AE72" s="853"/>
      <c r="AF72" s="854"/>
      <c r="AG72" s="864"/>
      <c r="AH72" s="16"/>
      <c r="AI72" s="537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Y72" s="80"/>
      <c r="AZ72" s="80"/>
    </row>
    <row r="73" spans="1:52" s="14" customFormat="1" ht="15.6" customHeight="1" x14ac:dyDescent="0.15">
      <c r="A73" s="16"/>
      <c r="B73" s="865" t="s">
        <v>30</v>
      </c>
      <c r="C73" s="866"/>
      <c r="D73" s="867"/>
      <c r="E73" s="858">
        <v>0.30120000000000002</v>
      </c>
      <c r="F73" s="859"/>
      <c r="G73" s="860"/>
      <c r="H73" s="858">
        <f>H71/AE71</f>
        <v>0.17287145189452915</v>
      </c>
      <c r="I73" s="859"/>
      <c r="J73" s="860"/>
      <c r="K73" s="858">
        <f>K71/AE71</f>
        <v>2.8432286204634828E-3</v>
      </c>
      <c r="L73" s="860"/>
      <c r="M73" s="858">
        <f>M71/AE71</f>
        <v>3.4414678093105951E-2</v>
      </c>
      <c r="N73" s="859"/>
      <c r="O73" s="858">
        <f>O71/AE71</f>
        <v>0.47890918223502982</v>
      </c>
      <c r="P73" s="859"/>
      <c r="Q73" s="860"/>
      <c r="R73" s="868">
        <f>R71/AE71</f>
        <v>1.9159446071384612E-4</v>
      </c>
      <c r="S73" s="869"/>
      <c r="T73" s="868">
        <f>T71/AE71</f>
        <v>1.8524115522004499E-3</v>
      </c>
      <c r="U73" s="869"/>
      <c r="V73" s="857">
        <f>V71/AE71</f>
        <v>3.4090543395067113E-3</v>
      </c>
      <c r="W73" s="857"/>
      <c r="X73" s="857">
        <f>X71/AE71</f>
        <v>4.1364497596194519E-3</v>
      </c>
      <c r="Y73" s="857"/>
      <c r="Z73" s="858">
        <f>Z71/AE71</f>
        <v>1.300519975754592E-4</v>
      </c>
      <c r="AA73" s="859"/>
      <c r="AB73" s="860"/>
      <c r="AC73" s="858">
        <f>AC71/AE71</f>
        <v>1.3270611997495837E-4</v>
      </c>
      <c r="AD73" s="860"/>
      <c r="AE73" s="861">
        <v>1</v>
      </c>
      <c r="AF73" s="862"/>
      <c r="AG73" s="863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Y73" s="80"/>
      <c r="AZ73" s="80"/>
    </row>
    <row r="74" spans="1:52" s="3" customFormat="1" ht="15.6" customHeight="1" x14ac:dyDescent="0.15">
      <c r="A74" s="49"/>
      <c r="B74" s="399"/>
      <c r="C74" s="396"/>
      <c r="D74" s="396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70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Y74" s="79"/>
      <c r="AZ74" s="79"/>
    </row>
    <row r="75" spans="1:52" s="3" customFormat="1" ht="15.6" customHeight="1" x14ac:dyDescent="0.15">
      <c r="A75" s="50" t="s">
        <v>71</v>
      </c>
      <c r="B75" s="49"/>
      <c r="C75" s="49"/>
      <c r="D75" s="49"/>
      <c r="E75" s="49"/>
      <c r="F75" s="49"/>
      <c r="G75" s="49"/>
      <c r="H75" s="49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392" t="s">
        <v>33</v>
      </c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Y75" s="79"/>
      <c r="AZ75" s="79"/>
    </row>
    <row r="76" spans="1:52" s="3" customFormat="1" ht="15.6" customHeight="1" x14ac:dyDescent="0.15">
      <c r="A76" s="49"/>
      <c r="B76" s="730" t="s">
        <v>34</v>
      </c>
      <c r="C76" s="730"/>
      <c r="D76" s="730"/>
      <c r="E76" s="730"/>
      <c r="F76" s="730"/>
      <c r="G76" s="730"/>
      <c r="H76" s="730" t="s">
        <v>35</v>
      </c>
      <c r="I76" s="730"/>
      <c r="J76" s="730"/>
      <c r="K76" s="730"/>
      <c r="L76" s="730"/>
      <c r="M76" s="730"/>
      <c r="N76" s="730"/>
      <c r="O76" s="730"/>
      <c r="P76" s="730"/>
      <c r="Q76" s="730"/>
      <c r="R76" s="730"/>
      <c r="S76" s="730"/>
      <c r="T76" s="730"/>
      <c r="U76" s="730"/>
      <c r="V76" s="730"/>
      <c r="W76" s="730"/>
      <c r="X76" s="730"/>
      <c r="Y76" s="730"/>
      <c r="Z76" s="549" t="s">
        <v>36</v>
      </c>
      <c r="AA76" s="550"/>
      <c r="AB76" s="550"/>
      <c r="AC76" s="550"/>
      <c r="AD76" s="550"/>
      <c r="AE76" s="550"/>
      <c r="AF76" s="550"/>
      <c r="AG76" s="551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Y76" s="79"/>
      <c r="AZ76" s="79"/>
    </row>
    <row r="77" spans="1:52" s="3" customFormat="1" ht="15.6" customHeight="1" x14ac:dyDescent="0.15">
      <c r="A77" s="49"/>
      <c r="B77" s="730"/>
      <c r="C77" s="730"/>
      <c r="D77" s="730"/>
      <c r="E77" s="730"/>
      <c r="F77" s="730"/>
      <c r="G77" s="730"/>
      <c r="H77" s="730" t="s">
        <v>37</v>
      </c>
      <c r="I77" s="730"/>
      <c r="J77" s="730"/>
      <c r="K77" s="730"/>
      <c r="L77" s="730"/>
      <c r="M77" s="730"/>
      <c r="N77" s="730" t="s">
        <v>38</v>
      </c>
      <c r="O77" s="730"/>
      <c r="P77" s="730"/>
      <c r="Q77" s="730"/>
      <c r="R77" s="730"/>
      <c r="S77" s="730"/>
      <c r="T77" s="730" t="s">
        <v>39</v>
      </c>
      <c r="U77" s="730"/>
      <c r="V77" s="730"/>
      <c r="W77" s="730"/>
      <c r="X77" s="730"/>
      <c r="Y77" s="730"/>
      <c r="Z77" s="552"/>
      <c r="AA77" s="553"/>
      <c r="AB77" s="553"/>
      <c r="AC77" s="553"/>
      <c r="AD77" s="553"/>
      <c r="AE77" s="553"/>
      <c r="AF77" s="553"/>
      <c r="AG77" s="554"/>
      <c r="AH77" s="16"/>
      <c r="AI77" s="16"/>
      <c r="AJ77" s="16"/>
      <c r="AK77" s="16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Y77" s="79"/>
      <c r="AZ77" s="79"/>
    </row>
    <row r="78" spans="1:52" s="3" customFormat="1" ht="15.6" customHeight="1" x14ac:dyDescent="0.15">
      <c r="A78" s="49"/>
      <c r="B78" s="731" t="s">
        <v>137</v>
      </c>
      <c r="C78" s="732"/>
      <c r="D78" s="732"/>
      <c r="E78" s="732"/>
      <c r="F78" s="732"/>
      <c r="G78" s="733"/>
      <c r="H78" s="734">
        <v>5300000</v>
      </c>
      <c r="I78" s="735"/>
      <c r="J78" s="735"/>
      <c r="K78" s="735"/>
      <c r="L78" s="735"/>
      <c r="M78" s="736"/>
      <c r="N78" s="737">
        <v>346000</v>
      </c>
      <c r="O78" s="738"/>
      <c r="P78" s="738"/>
      <c r="Q78" s="738"/>
      <c r="R78" s="738"/>
      <c r="S78" s="739"/>
      <c r="T78" s="734">
        <f t="shared" ref="T78:T80" si="1">SUM(H78:S78)</f>
        <v>5646000</v>
      </c>
      <c r="U78" s="735"/>
      <c r="V78" s="735"/>
      <c r="W78" s="735"/>
      <c r="X78" s="735"/>
      <c r="Y78" s="736"/>
      <c r="Z78" s="740">
        <v>5636644</v>
      </c>
      <c r="AA78" s="741"/>
      <c r="AB78" s="741"/>
      <c r="AC78" s="741"/>
      <c r="AD78" s="741"/>
      <c r="AE78" s="741"/>
      <c r="AF78" s="741"/>
      <c r="AG78" s="742"/>
      <c r="AH78" s="16"/>
      <c r="AI78" s="16"/>
      <c r="AJ78" s="16"/>
      <c r="AK78" s="16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Y78" s="79"/>
      <c r="AZ78" s="79"/>
    </row>
    <row r="79" spans="1:52" s="3" customFormat="1" ht="15.6" customHeight="1" x14ac:dyDescent="0.15">
      <c r="A79" s="49"/>
      <c r="B79" s="731" t="s">
        <v>138</v>
      </c>
      <c r="C79" s="732"/>
      <c r="D79" s="732"/>
      <c r="E79" s="732"/>
      <c r="F79" s="732"/>
      <c r="G79" s="733"/>
      <c r="H79" s="734">
        <v>5310000</v>
      </c>
      <c r="I79" s="735"/>
      <c r="J79" s="735"/>
      <c r="K79" s="735"/>
      <c r="L79" s="735"/>
      <c r="M79" s="736"/>
      <c r="N79" s="743">
        <v>197000</v>
      </c>
      <c r="O79" s="744"/>
      <c r="P79" s="744"/>
      <c r="Q79" s="744"/>
      <c r="R79" s="744"/>
      <c r="S79" s="745"/>
      <c r="T79" s="734">
        <f t="shared" si="1"/>
        <v>5507000</v>
      </c>
      <c r="U79" s="735"/>
      <c r="V79" s="735"/>
      <c r="W79" s="735"/>
      <c r="X79" s="735"/>
      <c r="Y79" s="736"/>
      <c r="Z79" s="734">
        <v>5500325</v>
      </c>
      <c r="AA79" s="735"/>
      <c r="AB79" s="735"/>
      <c r="AC79" s="735"/>
      <c r="AD79" s="735"/>
      <c r="AE79" s="735"/>
      <c r="AF79" s="735"/>
      <c r="AG79" s="736"/>
      <c r="AH79" s="16"/>
      <c r="AI79" s="16"/>
      <c r="AJ79" s="16"/>
      <c r="AK79" s="16"/>
      <c r="AL79" s="16"/>
      <c r="AM79" s="16"/>
      <c r="AN79" s="16"/>
      <c r="AO79" s="16"/>
      <c r="AP79" s="14"/>
      <c r="AQ79" s="14"/>
      <c r="AR79" s="14"/>
      <c r="AS79" s="14"/>
      <c r="AT79" s="14"/>
      <c r="AU79" s="14"/>
      <c r="AY79" s="79"/>
      <c r="AZ79" s="79"/>
    </row>
    <row r="80" spans="1:52" s="3" customFormat="1" ht="15.6" customHeight="1" x14ac:dyDescent="0.15">
      <c r="A80" s="49"/>
      <c r="B80" s="746" t="s">
        <v>132</v>
      </c>
      <c r="C80" s="746"/>
      <c r="D80" s="746"/>
      <c r="E80" s="746"/>
      <c r="F80" s="746"/>
      <c r="G80" s="746"/>
      <c r="H80" s="747">
        <v>5510000</v>
      </c>
      <c r="I80" s="748"/>
      <c r="J80" s="748"/>
      <c r="K80" s="748"/>
      <c r="L80" s="748"/>
      <c r="M80" s="749"/>
      <c r="N80" s="743">
        <v>388000</v>
      </c>
      <c r="O80" s="744"/>
      <c r="P80" s="744"/>
      <c r="Q80" s="744"/>
      <c r="R80" s="744"/>
      <c r="S80" s="745"/>
      <c r="T80" s="747">
        <f t="shared" si="1"/>
        <v>5898000</v>
      </c>
      <c r="U80" s="748"/>
      <c r="V80" s="748"/>
      <c r="W80" s="748"/>
      <c r="X80" s="748"/>
      <c r="Y80" s="749"/>
      <c r="Z80" s="747">
        <v>5894929</v>
      </c>
      <c r="AA80" s="748"/>
      <c r="AB80" s="748"/>
      <c r="AC80" s="748"/>
      <c r="AD80" s="748"/>
      <c r="AE80" s="748"/>
      <c r="AF80" s="748"/>
      <c r="AG80" s="749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Y80" s="79"/>
      <c r="AZ80" s="79"/>
    </row>
    <row r="81" spans="1:54" s="14" customFormat="1" ht="15.6" customHeight="1" x14ac:dyDescent="0.15">
      <c r="A81" s="16"/>
      <c r="B81" s="746" t="s">
        <v>145</v>
      </c>
      <c r="C81" s="746"/>
      <c r="D81" s="746"/>
      <c r="E81" s="746"/>
      <c r="F81" s="746"/>
      <c r="G81" s="746"/>
      <c r="H81" s="747">
        <v>5596000</v>
      </c>
      <c r="I81" s="748"/>
      <c r="J81" s="748"/>
      <c r="K81" s="748"/>
      <c r="L81" s="748"/>
      <c r="M81" s="749"/>
      <c r="N81" s="743">
        <v>448000</v>
      </c>
      <c r="O81" s="744"/>
      <c r="P81" s="744"/>
      <c r="Q81" s="744"/>
      <c r="R81" s="744"/>
      <c r="S81" s="745"/>
      <c r="T81" s="747">
        <f>SUM(H81:S81)</f>
        <v>6044000</v>
      </c>
      <c r="U81" s="748"/>
      <c r="V81" s="748"/>
      <c r="W81" s="748"/>
      <c r="X81" s="748"/>
      <c r="Y81" s="749"/>
      <c r="Z81" s="747">
        <v>6030198</v>
      </c>
      <c r="AA81" s="748"/>
      <c r="AB81" s="748"/>
      <c r="AC81" s="748"/>
      <c r="AD81" s="748"/>
      <c r="AE81" s="748"/>
      <c r="AF81" s="748"/>
      <c r="AG81" s="749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Y81" s="80"/>
      <c r="AZ81" s="80"/>
    </row>
    <row r="82" spans="1:54" s="14" customFormat="1" ht="15.6" customHeight="1" x14ac:dyDescent="0.15">
      <c r="A82" s="16"/>
      <c r="B82" s="746" t="s">
        <v>177</v>
      </c>
      <c r="C82" s="746"/>
      <c r="D82" s="746"/>
      <c r="E82" s="746"/>
      <c r="F82" s="746"/>
      <c r="G82" s="746"/>
      <c r="H82" s="747">
        <v>5894929</v>
      </c>
      <c r="I82" s="748"/>
      <c r="J82" s="748"/>
      <c r="K82" s="748"/>
      <c r="L82" s="748"/>
      <c r="M82" s="749"/>
      <c r="N82" s="892"/>
      <c r="O82" s="893"/>
      <c r="P82" s="893"/>
      <c r="Q82" s="893"/>
      <c r="R82" s="893"/>
      <c r="S82" s="894"/>
      <c r="T82" s="844"/>
      <c r="U82" s="845"/>
      <c r="V82" s="845"/>
      <c r="W82" s="845"/>
      <c r="X82" s="845"/>
      <c r="Y82" s="846"/>
      <c r="Z82" s="844"/>
      <c r="AA82" s="845"/>
      <c r="AB82" s="845"/>
      <c r="AC82" s="845"/>
      <c r="AD82" s="845"/>
      <c r="AE82" s="845"/>
      <c r="AF82" s="845"/>
      <c r="AG82" s="84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Y82" s="80"/>
      <c r="AZ82" s="80"/>
    </row>
    <row r="83" spans="1:54" s="14" customFormat="1" ht="15.6" customHeight="1" x14ac:dyDescent="0.15">
      <c r="A83" s="16"/>
      <c r="B83" s="535"/>
      <c r="C83" s="535"/>
      <c r="D83" s="535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Y83" s="80"/>
      <c r="AZ83" s="80"/>
    </row>
    <row r="84" spans="1:54" s="1" customFormat="1" ht="15.6" customHeight="1" x14ac:dyDescent="0.15">
      <c r="A84" s="49" t="s">
        <v>49</v>
      </c>
      <c r="B84" s="49"/>
      <c r="C84" s="49"/>
      <c r="D84" s="49"/>
      <c r="E84" s="49"/>
      <c r="F84" s="49"/>
      <c r="G84" s="49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54" t="s">
        <v>118</v>
      </c>
      <c r="AB84" s="49"/>
      <c r="AC84" s="49"/>
      <c r="AD84" s="49"/>
      <c r="AE84" s="49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Y84" s="369"/>
      <c r="AZ84" s="369"/>
    </row>
    <row r="85" spans="1:54" s="1" customFormat="1" ht="15.6" customHeight="1" x14ac:dyDescent="0.15">
      <c r="A85" s="49"/>
      <c r="B85" s="730" t="s">
        <v>78</v>
      </c>
      <c r="C85" s="730"/>
      <c r="D85" s="730"/>
      <c r="E85" s="730"/>
      <c r="F85" s="730"/>
      <c r="G85" s="751" t="s">
        <v>127</v>
      </c>
      <c r="H85" s="752"/>
      <c r="I85" s="752"/>
      <c r="J85" s="752"/>
      <c r="K85" s="753"/>
      <c r="L85" s="751" t="s">
        <v>138</v>
      </c>
      <c r="M85" s="752"/>
      <c r="N85" s="752"/>
      <c r="O85" s="752"/>
      <c r="P85" s="753"/>
      <c r="Q85" s="751" t="s">
        <v>132</v>
      </c>
      <c r="R85" s="752"/>
      <c r="S85" s="752"/>
      <c r="T85" s="752"/>
      <c r="U85" s="753"/>
      <c r="V85" s="754" t="s">
        <v>145</v>
      </c>
      <c r="W85" s="730"/>
      <c r="X85" s="730"/>
      <c r="Y85" s="730"/>
      <c r="Z85" s="730"/>
      <c r="AA85" s="754" t="s">
        <v>177</v>
      </c>
      <c r="AB85" s="730"/>
      <c r="AC85" s="730"/>
      <c r="AD85" s="730"/>
      <c r="AE85" s="730"/>
      <c r="AF85" s="16"/>
      <c r="AG85" s="16"/>
      <c r="AH85" s="16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Y85" s="369"/>
      <c r="AZ85" s="369"/>
    </row>
    <row r="86" spans="1:54" s="1" customFormat="1" ht="15.6" customHeight="1" x14ac:dyDescent="0.15">
      <c r="A86" s="49"/>
      <c r="B86" s="756" t="s">
        <v>77</v>
      </c>
      <c r="C86" s="756"/>
      <c r="D86" s="756"/>
      <c r="E86" s="756"/>
      <c r="F86" s="756"/>
      <c r="G86" s="757">
        <f>990+98</f>
        <v>1088</v>
      </c>
      <c r="H86" s="758"/>
      <c r="I86" s="758"/>
      <c r="J86" s="758"/>
      <c r="K86" s="759"/>
      <c r="L86" s="757">
        <v>1174</v>
      </c>
      <c r="M86" s="758"/>
      <c r="N86" s="758"/>
      <c r="O86" s="758"/>
      <c r="P86" s="759"/>
      <c r="Q86" s="757">
        <v>1207</v>
      </c>
      <c r="R86" s="758"/>
      <c r="S86" s="758"/>
      <c r="T86" s="758"/>
      <c r="U86" s="759"/>
      <c r="V86" s="763">
        <v>1103</v>
      </c>
      <c r="W86" s="763"/>
      <c r="X86" s="763"/>
      <c r="Y86" s="763"/>
      <c r="Z86" s="763"/>
      <c r="AA86" s="764">
        <f>77+122+80+81+103+93+102+107</f>
        <v>765</v>
      </c>
      <c r="AB86" s="764"/>
      <c r="AC86" s="764"/>
      <c r="AD86" s="764"/>
      <c r="AE86" s="764"/>
      <c r="AF86" s="16"/>
      <c r="AG86" s="16"/>
      <c r="AH86" s="16"/>
      <c r="AI86" s="755"/>
      <c r="AJ86" s="755"/>
      <c r="AK86" s="755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Y86" s="369"/>
      <c r="AZ86" s="369"/>
    </row>
    <row r="87" spans="1:54" s="1" customFormat="1" ht="15.6" customHeight="1" x14ac:dyDescent="0.15">
      <c r="A87" s="49"/>
      <c r="B87" s="756" t="s">
        <v>76</v>
      </c>
      <c r="C87" s="756"/>
      <c r="D87" s="756"/>
      <c r="E87" s="756"/>
      <c r="F87" s="756"/>
      <c r="G87" s="757">
        <v>91</v>
      </c>
      <c r="H87" s="758"/>
      <c r="I87" s="758"/>
      <c r="J87" s="758"/>
      <c r="K87" s="759"/>
      <c r="L87" s="757">
        <f>L86/12</f>
        <v>97.833333333333329</v>
      </c>
      <c r="M87" s="758"/>
      <c r="N87" s="758"/>
      <c r="O87" s="758"/>
      <c r="P87" s="759"/>
      <c r="Q87" s="757">
        <f>Q86/12</f>
        <v>100.58333333333333</v>
      </c>
      <c r="R87" s="758"/>
      <c r="S87" s="758"/>
      <c r="T87" s="758"/>
      <c r="U87" s="759"/>
      <c r="V87" s="757">
        <f>V86/12</f>
        <v>91.916666666666671</v>
      </c>
      <c r="W87" s="758"/>
      <c r="X87" s="758"/>
      <c r="Y87" s="758"/>
      <c r="Z87" s="759"/>
      <c r="AA87" s="760">
        <f>AA86/8</f>
        <v>95.625</v>
      </c>
      <c r="AB87" s="761"/>
      <c r="AC87" s="761"/>
      <c r="AD87" s="761"/>
      <c r="AE87" s="762"/>
      <c r="AF87" s="16"/>
      <c r="AG87" s="16"/>
      <c r="AH87" s="16"/>
      <c r="AI87" s="889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Y87" s="369"/>
      <c r="AZ87" s="369"/>
    </row>
    <row r="88" spans="1:54" s="1" customFormat="1" ht="15.6" customHeight="1" x14ac:dyDescent="0.15">
      <c r="A88" s="49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Y88" s="369"/>
      <c r="AZ88" s="369"/>
    </row>
    <row r="89" spans="1:54" s="1" customFormat="1" ht="15.6" customHeight="1" x14ac:dyDescent="0.15">
      <c r="A89" s="50" t="s">
        <v>63</v>
      </c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16"/>
      <c r="U89" s="16"/>
      <c r="V89" s="16"/>
      <c r="W89" s="16"/>
      <c r="X89" s="16"/>
      <c r="Y89" s="16"/>
      <c r="AA89" s="374" t="s">
        <v>118</v>
      </c>
      <c r="AB89" s="374"/>
      <c r="AC89" s="374"/>
      <c r="AD89" s="374"/>
      <c r="AE89" s="374"/>
      <c r="AF89" s="16"/>
      <c r="AG89" s="16"/>
      <c r="AH89" s="16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Y89" s="369"/>
      <c r="AZ89" s="369"/>
    </row>
    <row r="90" spans="1:54" s="1" customFormat="1" ht="15.6" customHeight="1" x14ac:dyDescent="0.15">
      <c r="A90" s="49"/>
      <c r="B90" s="765" t="s">
        <v>70</v>
      </c>
      <c r="C90" s="766"/>
      <c r="D90" s="767"/>
      <c r="E90" s="765" t="s">
        <v>50</v>
      </c>
      <c r="F90" s="766"/>
      <c r="G90" s="766"/>
      <c r="H90" s="766"/>
      <c r="I90" s="767"/>
      <c r="J90" s="751" t="s">
        <v>133</v>
      </c>
      <c r="K90" s="752"/>
      <c r="L90" s="752"/>
      <c r="M90" s="752"/>
      <c r="N90" s="752"/>
      <c r="O90" s="752"/>
      <c r="P90" s="752"/>
      <c r="Q90" s="753"/>
      <c r="R90" s="751" t="s">
        <v>146</v>
      </c>
      <c r="S90" s="752"/>
      <c r="T90" s="752"/>
      <c r="U90" s="752"/>
      <c r="V90" s="752"/>
      <c r="W90" s="752"/>
      <c r="X90" s="752"/>
      <c r="Y90" s="753"/>
      <c r="Z90" s="751" t="s">
        <v>178</v>
      </c>
      <c r="AA90" s="752"/>
      <c r="AB90" s="752"/>
      <c r="AC90" s="752"/>
      <c r="AD90" s="752"/>
      <c r="AE90" s="752"/>
      <c r="AF90" s="752"/>
      <c r="AG90" s="753"/>
      <c r="AH90" s="16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Y90" s="369"/>
      <c r="AZ90" s="369"/>
    </row>
    <row r="91" spans="1:54" s="1" customFormat="1" ht="15.6" customHeight="1" x14ac:dyDescent="0.15">
      <c r="A91" s="49"/>
      <c r="B91" s="785"/>
      <c r="C91" s="786"/>
      <c r="D91" s="787"/>
      <c r="E91" s="785"/>
      <c r="F91" s="786"/>
      <c r="G91" s="786"/>
      <c r="H91" s="786"/>
      <c r="I91" s="787"/>
      <c r="J91" s="788" t="s">
        <v>51</v>
      </c>
      <c r="K91" s="788"/>
      <c r="L91" s="788"/>
      <c r="M91" s="788"/>
      <c r="N91" s="765" t="s">
        <v>30</v>
      </c>
      <c r="O91" s="766"/>
      <c r="P91" s="766"/>
      <c r="Q91" s="767"/>
      <c r="R91" s="788" t="s">
        <v>51</v>
      </c>
      <c r="S91" s="788"/>
      <c r="T91" s="788"/>
      <c r="U91" s="788"/>
      <c r="V91" s="765" t="s">
        <v>30</v>
      </c>
      <c r="W91" s="766"/>
      <c r="X91" s="766"/>
      <c r="Y91" s="767"/>
      <c r="Z91" s="788" t="s">
        <v>51</v>
      </c>
      <c r="AA91" s="788"/>
      <c r="AB91" s="788"/>
      <c r="AC91" s="788"/>
      <c r="AD91" s="765" t="s">
        <v>30</v>
      </c>
      <c r="AE91" s="766"/>
      <c r="AF91" s="766"/>
      <c r="AG91" s="767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Y91" s="369"/>
      <c r="AZ91" s="369"/>
    </row>
    <row r="92" spans="1:54" s="1" customFormat="1" ht="15.6" customHeight="1" x14ac:dyDescent="0.15">
      <c r="A92" s="52"/>
      <c r="B92" s="768" t="s">
        <v>74</v>
      </c>
      <c r="C92" s="769"/>
      <c r="D92" s="770"/>
      <c r="E92" s="777" t="s">
        <v>52</v>
      </c>
      <c r="F92" s="777"/>
      <c r="G92" s="777"/>
      <c r="H92" s="777"/>
      <c r="I92" s="777"/>
      <c r="J92" s="778">
        <v>193</v>
      </c>
      <c r="K92" s="778"/>
      <c r="L92" s="778"/>
      <c r="M92" s="778"/>
      <c r="N92" s="779">
        <f>J92/SUM(J92:M96)</f>
        <v>0.15990057995028997</v>
      </c>
      <c r="O92" s="779"/>
      <c r="P92" s="779"/>
      <c r="Q92" s="779"/>
      <c r="R92" s="780">
        <v>206</v>
      </c>
      <c r="S92" s="778"/>
      <c r="T92" s="778"/>
      <c r="U92" s="778"/>
      <c r="V92" s="779">
        <f>R92/V86</f>
        <v>0.18676337262012693</v>
      </c>
      <c r="W92" s="779"/>
      <c r="X92" s="779"/>
      <c r="Y92" s="779"/>
      <c r="Z92" s="781">
        <f>13+27+18+18+18+12+14+24</f>
        <v>144</v>
      </c>
      <c r="AA92" s="782"/>
      <c r="AB92" s="782"/>
      <c r="AC92" s="782"/>
      <c r="AD92" s="823">
        <f>Z92/AA86</f>
        <v>0.18823529411764706</v>
      </c>
      <c r="AE92" s="823"/>
      <c r="AF92" s="823"/>
      <c r="AG92" s="823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Y92" s="789"/>
      <c r="AZ92" s="789"/>
    </row>
    <row r="93" spans="1:54" s="1" customFormat="1" ht="15.6" customHeight="1" x14ac:dyDescent="0.15">
      <c r="A93" s="52"/>
      <c r="B93" s="771"/>
      <c r="C93" s="772"/>
      <c r="D93" s="773"/>
      <c r="E93" s="784" t="s">
        <v>53</v>
      </c>
      <c r="F93" s="784"/>
      <c r="G93" s="784"/>
      <c r="H93" s="784"/>
      <c r="I93" s="784"/>
      <c r="J93" s="790">
        <v>600</v>
      </c>
      <c r="K93" s="790"/>
      <c r="L93" s="790"/>
      <c r="M93" s="790"/>
      <c r="N93" s="791">
        <f>J93/SUM(J92:M96)</f>
        <v>0.4971002485501243</v>
      </c>
      <c r="O93" s="791"/>
      <c r="P93" s="791"/>
      <c r="Q93" s="791"/>
      <c r="R93" s="792">
        <v>391</v>
      </c>
      <c r="S93" s="790"/>
      <c r="T93" s="790"/>
      <c r="U93" s="790"/>
      <c r="V93" s="793">
        <f>R93/V86</f>
        <v>0.35448776065276516</v>
      </c>
      <c r="W93" s="794"/>
      <c r="X93" s="794"/>
      <c r="Y93" s="795"/>
      <c r="Z93" s="796">
        <f>42+50+26+32+39+40+51+37</f>
        <v>317</v>
      </c>
      <c r="AA93" s="797"/>
      <c r="AB93" s="797"/>
      <c r="AC93" s="797"/>
      <c r="AD93" s="783">
        <v>0.41499999999999998</v>
      </c>
      <c r="AE93" s="783"/>
      <c r="AF93" s="783"/>
      <c r="AG93" s="783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Y93" s="789"/>
      <c r="AZ93" s="789"/>
    </row>
    <row r="94" spans="1:54" s="1" customFormat="1" ht="15.6" customHeight="1" x14ac:dyDescent="0.15">
      <c r="A94" s="52"/>
      <c r="B94" s="771"/>
      <c r="C94" s="772"/>
      <c r="D94" s="773"/>
      <c r="E94" s="784" t="s">
        <v>54</v>
      </c>
      <c r="F94" s="784"/>
      <c r="G94" s="784"/>
      <c r="H94" s="784"/>
      <c r="I94" s="784"/>
      <c r="J94" s="790">
        <v>20</v>
      </c>
      <c r="K94" s="790"/>
      <c r="L94" s="790"/>
      <c r="M94" s="790"/>
      <c r="N94" s="791">
        <f>J94/SUM(J92:M96)</f>
        <v>1.6570008285004142E-2</v>
      </c>
      <c r="O94" s="791"/>
      <c r="P94" s="791"/>
      <c r="Q94" s="791"/>
      <c r="R94" s="792">
        <v>15</v>
      </c>
      <c r="S94" s="790"/>
      <c r="T94" s="790"/>
      <c r="U94" s="790"/>
      <c r="V94" s="793">
        <f>R94/V86</f>
        <v>1.3599274705349048E-2</v>
      </c>
      <c r="W94" s="794"/>
      <c r="X94" s="794"/>
      <c r="Y94" s="795"/>
      <c r="Z94" s="796">
        <f>2+0+4+0+0+0+1+0</f>
        <v>7</v>
      </c>
      <c r="AA94" s="797"/>
      <c r="AB94" s="797"/>
      <c r="AC94" s="797"/>
      <c r="AD94" s="783">
        <f>Z94/AA86</f>
        <v>9.1503267973856214E-3</v>
      </c>
      <c r="AE94" s="783"/>
      <c r="AF94" s="783"/>
      <c r="AG94" s="783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Y94" s="789"/>
      <c r="AZ94" s="789"/>
    </row>
    <row r="95" spans="1:54" s="1" customFormat="1" ht="15.6" customHeight="1" x14ac:dyDescent="0.15">
      <c r="A95" s="52"/>
      <c r="B95" s="771"/>
      <c r="C95" s="772"/>
      <c r="D95" s="773"/>
      <c r="E95" s="798" t="s">
        <v>55</v>
      </c>
      <c r="F95" s="798"/>
      <c r="G95" s="798"/>
      <c r="H95" s="798"/>
      <c r="I95" s="798"/>
      <c r="J95" s="790">
        <v>0</v>
      </c>
      <c r="K95" s="790"/>
      <c r="L95" s="790"/>
      <c r="M95" s="790"/>
      <c r="N95" s="791">
        <f>J95/SUM(J92:M96)</f>
        <v>0</v>
      </c>
      <c r="O95" s="791"/>
      <c r="P95" s="791"/>
      <c r="Q95" s="791"/>
      <c r="R95" s="792">
        <v>0</v>
      </c>
      <c r="S95" s="790"/>
      <c r="T95" s="790"/>
      <c r="U95" s="790"/>
      <c r="V95" s="793">
        <v>0</v>
      </c>
      <c r="W95" s="794"/>
      <c r="X95" s="794"/>
      <c r="Y95" s="795"/>
      <c r="Z95" s="796">
        <f>0+0+0+0+0+0+0+0</f>
        <v>0</v>
      </c>
      <c r="AA95" s="797"/>
      <c r="AB95" s="797"/>
      <c r="AC95" s="797"/>
      <c r="AD95" s="783">
        <v>0</v>
      </c>
      <c r="AE95" s="783"/>
      <c r="AF95" s="783"/>
      <c r="AG95" s="783"/>
      <c r="AH95" s="13"/>
      <c r="AI95" s="16"/>
      <c r="AJ95" s="16"/>
      <c r="AK95" s="799"/>
      <c r="AL95" s="799"/>
      <c r="AM95" s="799"/>
      <c r="AN95" s="13"/>
      <c r="AO95" s="13"/>
      <c r="AP95" s="72"/>
      <c r="AQ95" s="72"/>
      <c r="AR95" s="72"/>
      <c r="AS95" s="72"/>
      <c r="AT95" s="72"/>
      <c r="AU95" s="72"/>
      <c r="AV95" s="73"/>
      <c r="AW95" s="73"/>
      <c r="AX95" s="73"/>
      <c r="AY95" s="789"/>
      <c r="AZ95" s="789"/>
      <c r="BA95" s="73"/>
    </row>
    <row r="96" spans="1:54" s="1" customFormat="1" ht="15.6" customHeight="1" x14ac:dyDescent="0.15">
      <c r="A96" s="52"/>
      <c r="B96" s="774"/>
      <c r="C96" s="775"/>
      <c r="D96" s="776"/>
      <c r="E96" s="805" t="s">
        <v>56</v>
      </c>
      <c r="F96" s="805"/>
      <c r="G96" s="805"/>
      <c r="H96" s="805"/>
      <c r="I96" s="805"/>
      <c r="J96" s="806">
        <v>394</v>
      </c>
      <c r="K96" s="806"/>
      <c r="L96" s="806"/>
      <c r="M96" s="806"/>
      <c r="N96" s="807">
        <v>0.32600000000000001</v>
      </c>
      <c r="O96" s="807"/>
      <c r="P96" s="807"/>
      <c r="Q96" s="807"/>
      <c r="R96" s="808">
        <v>491</v>
      </c>
      <c r="S96" s="806"/>
      <c r="T96" s="806"/>
      <c r="U96" s="806"/>
      <c r="V96" s="809">
        <f>R96/V86</f>
        <v>0.44514959202175886</v>
      </c>
      <c r="W96" s="810"/>
      <c r="X96" s="810"/>
      <c r="Y96" s="811"/>
      <c r="Z96" s="812">
        <f>20+45+32+31+46+41+36+46</f>
        <v>297</v>
      </c>
      <c r="AA96" s="813"/>
      <c r="AB96" s="813"/>
      <c r="AC96" s="813"/>
      <c r="AD96" s="783">
        <f>Z96/AA86</f>
        <v>0.38823529411764707</v>
      </c>
      <c r="AE96" s="783"/>
      <c r="AF96" s="783"/>
      <c r="AG96" s="783"/>
      <c r="AH96" s="13"/>
      <c r="AI96" s="13"/>
      <c r="AJ96" s="800"/>
      <c r="AK96" s="800"/>
      <c r="AL96" s="800"/>
      <c r="AM96" s="13"/>
      <c r="AN96" s="13"/>
      <c r="AO96" s="13"/>
      <c r="AP96" s="13"/>
      <c r="AQ96" s="13"/>
      <c r="AR96" s="13"/>
      <c r="AS96" s="13"/>
      <c r="AT96" s="13"/>
      <c r="AU96" s="13"/>
      <c r="AY96" s="789"/>
      <c r="AZ96" s="789"/>
      <c r="BA96" s="801"/>
      <c r="BB96" s="801"/>
    </row>
    <row r="97" spans="1:54" s="1" customFormat="1" ht="15.6" customHeight="1" x14ac:dyDescent="0.15">
      <c r="A97" s="52"/>
      <c r="B97" s="768" t="s">
        <v>75</v>
      </c>
      <c r="C97" s="769"/>
      <c r="D97" s="770"/>
      <c r="E97" s="777" t="s">
        <v>57</v>
      </c>
      <c r="F97" s="777"/>
      <c r="G97" s="777"/>
      <c r="H97" s="777"/>
      <c r="I97" s="777"/>
      <c r="J97" s="778">
        <v>113</v>
      </c>
      <c r="K97" s="778"/>
      <c r="L97" s="778"/>
      <c r="M97" s="778"/>
      <c r="N97" s="779">
        <f>J97/SUM(J97:M100)</f>
        <v>9.3620546810273403E-2</v>
      </c>
      <c r="O97" s="779"/>
      <c r="P97" s="779"/>
      <c r="Q97" s="779"/>
      <c r="R97" s="778">
        <v>86</v>
      </c>
      <c r="S97" s="778"/>
      <c r="T97" s="778"/>
      <c r="U97" s="778"/>
      <c r="V97" s="802">
        <f>R97/SUM(R97:U100)</f>
        <v>7.7969174977334549E-2</v>
      </c>
      <c r="W97" s="803"/>
      <c r="X97" s="803"/>
      <c r="Y97" s="804"/>
      <c r="Z97" s="782">
        <f>3+16+6+5+31+7+5+5</f>
        <v>78</v>
      </c>
      <c r="AA97" s="782"/>
      <c r="AB97" s="782"/>
      <c r="AC97" s="782"/>
      <c r="AD97" s="814">
        <f>Z97/AA86</f>
        <v>0.10196078431372549</v>
      </c>
      <c r="AE97" s="814"/>
      <c r="AF97" s="814"/>
      <c r="AG97" s="814"/>
      <c r="AH97" s="13"/>
      <c r="AI97" s="13"/>
      <c r="AJ97" s="13"/>
      <c r="AK97" s="799"/>
      <c r="AL97" s="799"/>
      <c r="AM97" s="799"/>
      <c r="AN97" s="13"/>
      <c r="AO97" s="13"/>
      <c r="AP97" s="13"/>
      <c r="AQ97" s="13"/>
      <c r="AR97" s="13"/>
      <c r="AS97" s="13"/>
      <c r="AT97" s="13"/>
      <c r="AU97" s="13"/>
      <c r="AY97" s="789"/>
      <c r="AZ97" s="789"/>
    </row>
    <row r="98" spans="1:54" s="1" customFormat="1" ht="15.6" customHeight="1" x14ac:dyDescent="0.15">
      <c r="A98" s="52"/>
      <c r="B98" s="771"/>
      <c r="C98" s="772"/>
      <c r="D98" s="773"/>
      <c r="E98" s="784" t="s">
        <v>58</v>
      </c>
      <c r="F98" s="784"/>
      <c r="G98" s="784"/>
      <c r="H98" s="784"/>
      <c r="I98" s="784"/>
      <c r="J98" s="790">
        <v>62</v>
      </c>
      <c r="K98" s="790"/>
      <c r="L98" s="790"/>
      <c r="M98" s="790"/>
      <c r="N98" s="791">
        <f>J98/SUM(J97:M100)</f>
        <v>5.136702568351284E-2</v>
      </c>
      <c r="O98" s="791"/>
      <c r="P98" s="791"/>
      <c r="Q98" s="791"/>
      <c r="R98" s="790">
        <v>57</v>
      </c>
      <c r="S98" s="790"/>
      <c r="T98" s="790"/>
      <c r="U98" s="790"/>
      <c r="V98" s="793">
        <f>R98/SUM(R97:U100)</f>
        <v>5.1677243880326386E-2</v>
      </c>
      <c r="W98" s="794"/>
      <c r="X98" s="794"/>
      <c r="Y98" s="795"/>
      <c r="Z98" s="797">
        <f>2+2+7+5+4+2+5+1</f>
        <v>28</v>
      </c>
      <c r="AA98" s="797"/>
      <c r="AB98" s="797"/>
      <c r="AC98" s="797"/>
      <c r="AD98" s="783">
        <f>Z98/AA86</f>
        <v>3.6601307189542485E-2</v>
      </c>
      <c r="AE98" s="783"/>
      <c r="AF98" s="783"/>
      <c r="AG98" s="78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Y98" s="789"/>
      <c r="AZ98" s="789"/>
    </row>
    <row r="99" spans="1:54" s="3" customFormat="1" ht="15.6" customHeight="1" x14ac:dyDescent="0.15">
      <c r="A99" s="52"/>
      <c r="B99" s="771"/>
      <c r="C99" s="772"/>
      <c r="D99" s="773"/>
      <c r="E99" s="784" t="s">
        <v>59</v>
      </c>
      <c r="F99" s="784"/>
      <c r="G99" s="784"/>
      <c r="H99" s="784"/>
      <c r="I99" s="784"/>
      <c r="J99" s="790">
        <v>341</v>
      </c>
      <c r="K99" s="790"/>
      <c r="L99" s="790"/>
      <c r="M99" s="790"/>
      <c r="N99" s="791">
        <f>J99/SUM(J97:M100)</f>
        <v>0.28251864125932064</v>
      </c>
      <c r="O99" s="791"/>
      <c r="P99" s="791"/>
      <c r="Q99" s="791"/>
      <c r="R99" s="790">
        <v>361</v>
      </c>
      <c r="S99" s="790"/>
      <c r="T99" s="790"/>
      <c r="U99" s="790"/>
      <c r="V99" s="793">
        <f>R99/SUM(R97:U100)</f>
        <v>0.32728921124206711</v>
      </c>
      <c r="W99" s="794"/>
      <c r="X99" s="794"/>
      <c r="Y99" s="795"/>
      <c r="Z99" s="797">
        <f>21+36+30+21+9+34+20+40</f>
        <v>211</v>
      </c>
      <c r="AA99" s="797"/>
      <c r="AB99" s="797"/>
      <c r="AC99" s="797"/>
      <c r="AD99" s="783">
        <f>Z99/AA86</f>
        <v>0.27581699346405231</v>
      </c>
      <c r="AE99" s="783"/>
      <c r="AF99" s="783"/>
      <c r="AG99" s="78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4"/>
      <c r="AS99" s="14"/>
      <c r="AT99" s="14"/>
      <c r="AU99" s="14"/>
      <c r="AY99" s="789"/>
      <c r="AZ99" s="789"/>
    </row>
    <row r="100" spans="1:54" s="3" customFormat="1" ht="15.6" customHeight="1" x14ac:dyDescent="0.15">
      <c r="A100" s="52"/>
      <c r="B100" s="774"/>
      <c r="C100" s="775"/>
      <c r="D100" s="776"/>
      <c r="E100" s="805" t="s">
        <v>56</v>
      </c>
      <c r="F100" s="805"/>
      <c r="G100" s="805"/>
      <c r="H100" s="805"/>
      <c r="I100" s="805"/>
      <c r="J100" s="806">
        <v>691</v>
      </c>
      <c r="K100" s="806"/>
      <c r="L100" s="806"/>
      <c r="M100" s="806"/>
      <c r="N100" s="807">
        <f>J100/SUM(J97:M100)</f>
        <v>0.57249378624689318</v>
      </c>
      <c r="O100" s="807"/>
      <c r="P100" s="807"/>
      <c r="Q100" s="807"/>
      <c r="R100" s="806">
        <v>599</v>
      </c>
      <c r="S100" s="806"/>
      <c r="T100" s="806"/>
      <c r="U100" s="806"/>
      <c r="V100" s="809">
        <f>R100/SUM(R97:U100)</f>
        <v>0.54306436990027196</v>
      </c>
      <c r="W100" s="810"/>
      <c r="X100" s="810"/>
      <c r="Y100" s="811"/>
      <c r="Z100" s="813">
        <f>51+68+37+50+59+50+72+61</f>
        <v>448</v>
      </c>
      <c r="AA100" s="813"/>
      <c r="AB100" s="813"/>
      <c r="AC100" s="813"/>
      <c r="AD100" s="817">
        <v>0.58499999999999996</v>
      </c>
      <c r="AE100" s="817"/>
      <c r="AF100" s="817"/>
      <c r="AG100" s="817"/>
      <c r="AH100" s="13"/>
      <c r="AI100" s="13"/>
      <c r="AJ100" s="800"/>
      <c r="AK100" s="800"/>
      <c r="AL100" s="800"/>
      <c r="AM100" s="83"/>
      <c r="AN100" s="13"/>
      <c r="AO100" s="13"/>
      <c r="AP100" s="13"/>
      <c r="AQ100" s="13"/>
      <c r="AR100" s="14"/>
      <c r="AS100" s="14"/>
      <c r="AT100" s="14"/>
      <c r="AU100" s="14"/>
      <c r="AY100" s="789"/>
      <c r="AZ100" s="789"/>
      <c r="BA100" s="789"/>
      <c r="BB100" s="789"/>
    </row>
    <row r="101" spans="1:54" s="3" customFormat="1" ht="15.6" customHeight="1" x14ac:dyDescent="0.15">
      <c r="A101" s="55"/>
      <c r="Y101" s="2"/>
      <c r="Z101" s="2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4"/>
      <c r="AS101" s="14"/>
      <c r="AT101" s="14"/>
      <c r="AU101" s="14"/>
      <c r="AY101" s="79"/>
      <c r="AZ101" s="79"/>
    </row>
    <row r="102" spans="1:54" s="3" customFormat="1" ht="15.6" customHeight="1" x14ac:dyDescent="0.15">
      <c r="A102" s="55" t="s">
        <v>1</v>
      </c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AG102" s="4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4"/>
      <c r="AS102" s="14"/>
      <c r="AT102" s="14"/>
      <c r="AU102" s="14"/>
      <c r="AY102" s="79"/>
      <c r="AZ102" s="79"/>
    </row>
    <row r="103" spans="1:54" s="3" customFormat="1" ht="15.6" customHeight="1" x14ac:dyDescent="0.15">
      <c r="A103" s="50" t="s">
        <v>176</v>
      </c>
      <c r="AG103" s="4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4"/>
      <c r="AS103" s="14"/>
      <c r="AT103" s="14"/>
      <c r="AU103" s="14"/>
      <c r="AY103" s="79"/>
      <c r="AZ103" s="79"/>
    </row>
    <row r="104" spans="1:54" s="3" customFormat="1" ht="15.6" customHeight="1" x14ac:dyDescent="0.15">
      <c r="A104" s="55"/>
      <c r="B104" s="595" t="s">
        <v>14</v>
      </c>
      <c r="C104" s="595"/>
      <c r="D104" s="595" t="s">
        <v>15</v>
      </c>
      <c r="E104" s="595"/>
      <c r="F104" s="595"/>
      <c r="G104" s="595"/>
      <c r="H104" s="595"/>
      <c r="I104" s="595" t="s">
        <v>16</v>
      </c>
      <c r="J104" s="595"/>
      <c r="K104" s="595"/>
      <c r="L104" s="595"/>
      <c r="M104" s="595"/>
      <c r="N104" s="595" t="s">
        <v>17</v>
      </c>
      <c r="O104" s="595"/>
      <c r="P104" s="595"/>
      <c r="Q104" s="595"/>
      <c r="R104" s="595"/>
      <c r="S104" s="595" t="s">
        <v>18</v>
      </c>
      <c r="T104" s="595"/>
      <c r="U104" s="595"/>
      <c r="V104" s="595"/>
      <c r="W104" s="595"/>
      <c r="X104" s="595" t="s">
        <v>19</v>
      </c>
      <c r="Y104" s="595"/>
      <c r="Z104" s="595"/>
      <c r="AA104" s="595"/>
      <c r="AB104" s="595"/>
      <c r="AC104" s="595" t="s">
        <v>20</v>
      </c>
      <c r="AD104" s="595"/>
      <c r="AE104" s="595"/>
      <c r="AF104" s="595"/>
      <c r="AG104" s="7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Y104" s="79"/>
      <c r="AZ104" s="79"/>
    </row>
    <row r="105" spans="1:54" ht="15.6" customHeight="1" x14ac:dyDescent="0.15">
      <c r="A105" s="52"/>
      <c r="B105" s="815" t="s">
        <v>9</v>
      </c>
      <c r="C105" s="815"/>
      <c r="D105" s="816">
        <v>46</v>
      </c>
      <c r="E105" s="816"/>
      <c r="F105" s="816"/>
      <c r="G105" s="816"/>
      <c r="H105" s="816"/>
      <c r="I105" s="816">
        <v>2</v>
      </c>
      <c r="J105" s="816"/>
      <c r="K105" s="816"/>
      <c r="L105" s="816"/>
      <c r="M105" s="816"/>
      <c r="N105" s="816">
        <v>0</v>
      </c>
      <c r="O105" s="816"/>
      <c r="P105" s="816"/>
      <c r="Q105" s="816"/>
      <c r="R105" s="816"/>
      <c r="S105" s="816">
        <v>43</v>
      </c>
      <c r="T105" s="816"/>
      <c r="U105" s="816"/>
      <c r="V105" s="816"/>
      <c r="W105" s="816"/>
      <c r="X105" s="816">
        <v>19</v>
      </c>
      <c r="Y105" s="816"/>
      <c r="Z105" s="816"/>
      <c r="AA105" s="816"/>
      <c r="AB105" s="816"/>
      <c r="AC105" s="816">
        <f>S105-X105</f>
        <v>24</v>
      </c>
      <c r="AD105" s="816"/>
      <c r="AE105" s="816"/>
      <c r="AF105" s="816"/>
    </row>
    <row r="106" spans="1:54" ht="15.6" customHeight="1" x14ac:dyDescent="0.15">
      <c r="A106" s="50" t="s">
        <v>212</v>
      </c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</row>
    <row r="107" spans="1:54" ht="15.6" customHeight="1" x14ac:dyDescent="0.15">
      <c r="A107" s="55"/>
      <c r="B107" s="595" t="s">
        <v>14</v>
      </c>
      <c r="C107" s="595"/>
      <c r="D107" s="595" t="s">
        <v>15</v>
      </c>
      <c r="E107" s="595"/>
      <c r="F107" s="595"/>
      <c r="G107" s="595"/>
      <c r="H107" s="595"/>
      <c r="I107" s="595" t="s">
        <v>16</v>
      </c>
      <c r="J107" s="595"/>
      <c r="K107" s="595"/>
      <c r="L107" s="595"/>
      <c r="M107" s="595"/>
      <c r="N107" s="595" t="s">
        <v>17</v>
      </c>
      <c r="O107" s="595"/>
      <c r="P107" s="595"/>
      <c r="Q107" s="595"/>
      <c r="R107" s="595"/>
      <c r="S107" s="595" t="s">
        <v>18</v>
      </c>
      <c r="T107" s="595"/>
      <c r="U107" s="595"/>
      <c r="V107" s="595"/>
      <c r="W107" s="595"/>
      <c r="X107" s="595" t="s">
        <v>19</v>
      </c>
      <c r="Y107" s="595"/>
      <c r="Z107" s="595"/>
      <c r="AA107" s="595"/>
      <c r="AB107" s="595"/>
      <c r="AC107" s="595" t="s">
        <v>20</v>
      </c>
      <c r="AD107" s="595"/>
      <c r="AE107" s="595"/>
      <c r="AF107" s="595"/>
    </row>
    <row r="108" spans="1:54" s="7" customFormat="1" ht="15.6" customHeight="1" x14ac:dyDescent="0.15">
      <c r="A108" s="13"/>
      <c r="B108" s="827" t="s">
        <v>9</v>
      </c>
      <c r="C108" s="827"/>
      <c r="D108" s="750">
        <f>1+4+5+1+5+5+6+1</f>
        <v>28</v>
      </c>
      <c r="E108" s="750"/>
      <c r="F108" s="750"/>
      <c r="G108" s="750"/>
      <c r="H108" s="750"/>
      <c r="I108" s="750">
        <f>0+0+1+0+0+0+1+0</f>
        <v>2</v>
      </c>
      <c r="J108" s="750"/>
      <c r="K108" s="750"/>
      <c r="L108" s="750"/>
      <c r="M108" s="750"/>
      <c r="N108" s="750">
        <f>0+0+0+0+2+0+3+1</f>
        <v>6</v>
      </c>
      <c r="O108" s="750"/>
      <c r="P108" s="750"/>
      <c r="Q108" s="750"/>
      <c r="R108" s="750"/>
      <c r="S108" s="750">
        <f>3+3+0+3+3+2+4+1</f>
        <v>19</v>
      </c>
      <c r="T108" s="750"/>
      <c r="U108" s="750"/>
      <c r="V108" s="750"/>
      <c r="W108" s="750"/>
      <c r="X108" s="750">
        <f>0+6+1+2+1+2+4+4</f>
        <v>20</v>
      </c>
      <c r="Y108" s="750"/>
      <c r="Z108" s="750"/>
      <c r="AA108" s="750"/>
      <c r="AB108" s="750"/>
      <c r="AC108" s="750">
        <f>S108-X108</f>
        <v>-1</v>
      </c>
      <c r="AD108" s="750"/>
      <c r="AE108" s="750"/>
      <c r="AF108" s="750"/>
      <c r="AY108" s="80"/>
      <c r="AZ108" s="80"/>
    </row>
    <row r="110" spans="1:54" ht="15.6" customHeight="1" x14ac:dyDescent="0.15">
      <c r="I110" s="820"/>
      <c r="J110" s="819"/>
      <c r="K110" s="819"/>
      <c r="L110" s="819"/>
      <c r="S110" s="820"/>
      <c r="T110" s="819"/>
      <c r="U110" s="819"/>
      <c r="V110" s="819"/>
      <c r="Z110" s="820"/>
      <c r="AA110" s="819"/>
      <c r="AB110" s="819"/>
      <c r="AC110" s="819"/>
    </row>
    <row r="111" spans="1:54" ht="15.6" customHeight="1" x14ac:dyDescent="0.15">
      <c r="D111" s="19"/>
      <c r="I111" s="819"/>
      <c r="J111" s="819"/>
      <c r="K111" s="819"/>
      <c r="L111" s="819"/>
      <c r="M111" s="819"/>
      <c r="N111" s="821"/>
      <c r="O111" s="821"/>
      <c r="P111" s="821"/>
      <c r="Q111" s="821"/>
      <c r="R111" s="819"/>
      <c r="S111" s="819"/>
      <c r="T111" s="819"/>
      <c r="U111" s="819"/>
      <c r="Z111" s="819"/>
      <c r="AA111" s="819"/>
      <c r="AB111" s="819"/>
      <c r="AC111" s="819"/>
    </row>
    <row r="112" spans="1:54" ht="15.6" customHeight="1" x14ac:dyDescent="0.15">
      <c r="I112" s="819"/>
      <c r="J112" s="819"/>
      <c r="K112" s="819"/>
      <c r="L112" s="819"/>
      <c r="M112" s="819"/>
      <c r="N112" s="819"/>
      <c r="O112" s="819"/>
      <c r="P112" s="819"/>
      <c r="Q112" s="819"/>
      <c r="R112" s="819"/>
      <c r="S112" s="819"/>
      <c r="T112" s="819"/>
      <c r="U112" s="819"/>
      <c r="Z112" s="819"/>
      <c r="AA112" s="819"/>
      <c r="AB112" s="819"/>
      <c r="AC112" s="819"/>
    </row>
    <row r="113" spans="4:29" ht="15.6" customHeight="1" x14ac:dyDescent="0.15">
      <c r="D113" s="19"/>
      <c r="I113" s="819"/>
      <c r="J113" s="819"/>
      <c r="K113" s="819"/>
      <c r="L113" s="819"/>
      <c r="M113" s="819"/>
      <c r="N113" s="819"/>
      <c r="O113" s="819"/>
      <c r="P113" s="819"/>
      <c r="Q113" s="819"/>
      <c r="R113" s="819"/>
      <c r="S113" s="819"/>
      <c r="T113" s="819"/>
      <c r="U113" s="819"/>
      <c r="Z113" s="819"/>
      <c r="AA113" s="819"/>
      <c r="AB113" s="819"/>
      <c r="AC113" s="819"/>
    </row>
  </sheetData>
  <mergeCells count="482">
    <mergeCell ref="I112:M112"/>
    <mergeCell ref="N112:Q112"/>
    <mergeCell ref="R112:U112"/>
    <mergeCell ref="Z112:AC112"/>
    <mergeCell ref="I113:M113"/>
    <mergeCell ref="N113:Q113"/>
    <mergeCell ref="R113:U113"/>
    <mergeCell ref="Z113:AC113"/>
    <mergeCell ref="I110:L110"/>
    <mergeCell ref="S110:V110"/>
    <mergeCell ref="Z110:AC110"/>
    <mergeCell ref="I111:M111"/>
    <mergeCell ref="N111:Q111"/>
    <mergeCell ref="R111:U111"/>
    <mergeCell ref="Z111:AC111"/>
    <mergeCell ref="B108:C108"/>
    <mergeCell ref="D108:H108"/>
    <mergeCell ref="I108:M108"/>
    <mergeCell ref="N108:R108"/>
    <mergeCell ref="S108:W108"/>
    <mergeCell ref="X108:AB108"/>
    <mergeCell ref="AC108:AF108"/>
    <mergeCell ref="B107:C107"/>
    <mergeCell ref="D107:H107"/>
    <mergeCell ref="I107:M107"/>
    <mergeCell ref="N107:R107"/>
    <mergeCell ref="S107:W107"/>
    <mergeCell ref="X107:AB107"/>
    <mergeCell ref="B105:C105"/>
    <mergeCell ref="D105:H105"/>
    <mergeCell ref="I105:M105"/>
    <mergeCell ref="N105:R105"/>
    <mergeCell ref="S105:W105"/>
    <mergeCell ref="X105:AB105"/>
    <mergeCell ref="AC105:AF105"/>
    <mergeCell ref="AD100:AG100"/>
    <mergeCell ref="AC107:AF107"/>
    <mergeCell ref="AJ100:AL100"/>
    <mergeCell ref="AY100:AZ100"/>
    <mergeCell ref="BA100:BB100"/>
    <mergeCell ref="B104:C104"/>
    <mergeCell ref="D104:H104"/>
    <mergeCell ref="I104:M104"/>
    <mergeCell ref="N104:R104"/>
    <mergeCell ref="S104:W104"/>
    <mergeCell ref="X104:AB104"/>
    <mergeCell ref="E100:I100"/>
    <mergeCell ref="J100:M100"/>
    <mergeCell ref="N100:Q100"/>
    <mergeCell ref="R100:U100"/>
    <mergeCell ref="V100:Y100"/>
    <mergeCell ref="Z100:AC100"/>
    <mergeCell ref="AC104:AF104"/>
    <mergeCell ref="Z98:AC98"/>
    <mergeCell ref="AD98:AG98"/>
    <mergeCell ref="AY98:AZ98"/>
    <mergeCell ref="E99:I99"/>
    <mergeCell ref="J99:M99"/>
    <mergeCell ref="N99:Q99"/>
    <mergeCell ref="R99:U99"/>
    <mergeCell ref="V99:Y99"/>
    <mergeCell ref="Z99:AC99"/>
    <mergeCell ref="AD99:AG99"/>
    <mergeCell ref="AY99:AZ99"/>
    <mergeCell ref="AJ96:AL96"/>
    <mergeCell ref="AY96:AZ96"/>
    <mergeCell ref="BA96:BB96"/>
    <mergeCell ref="B97:D100"/>
    <mergeCell ref="E97:I97"/>
    <mergeCell ref="J97:M97"/>
    <mergeCell ref="N97:Q97"/>
    <mergeCell ref="R97:U97"/>
    <mergeCell ref="V97:Y97"/>
    <mergeCell ref="E96:I96"/>
    <mergeCell ref="J96:M96"/>
    <mergeCell ref="N96:Q96"/>
    <mergeCell ref="R96:U96"/>
    <mergeCell ref="V96:Y96"/>
    <mergeCell ref="Z96:AC96"/>
    <mergeCell ref="Z97:AC97"/>
    <mergeCell ref="AD97:AG97"/>
    <mergeCell ref="AK97:AM97"/>
    <mergeCell ref="AY97:AZ97"/>
    <mergeCell ref="E98:I98"/>
    <mergeCell ref="J98:M98"/>
    <mergeCell ref="N98:Q98"/>
    <mergeCell ref="R98:U98"/>
    <mergeCell ref="V98:Y98"/>
    <mergeCell ref="AY94:AZ94"/>
    <mergeCell ref="E95:I95"/>
    <mergeCell ref="J95:M95"/>
    <mergeCell ref="N95:Q95"/>
    <mergeCell ref="R95:U95"/>
    <mergeCell ref="V95:Y95"/>
    <mergeCell ref="Z95:AC95"/>
    <mergeCell ref="AD95:AG95"/>
    <mergeCell ref="AK95:AM95"/>
    <mergeCell ref="AY95:AZ95"/>
    <mergeCell ref="J94:M94"/>
    <mergeCell ref="N94:Q94"/>
    <mergeCell ref="R94:U94"/>
    <mergeCell ref="V94:Y94"/>
    <mergeCell ref="Z94:AC94"/>
    <mergeCell ref="AD94:AG94"/>
    <mergeCell ref="AY92:AZ92"/>
    <mergeCell ref="E93:I93"/>
    <mergeCell ref="J93:M93"/>
    <mergeCell ref="N93:Q93"/>
    <mergeCell ref="R93:U93"/>
    <mergeCell ref="V93:Y93"/>
    <mergeCell ref="Z93:AC93"/>
    <mergeCell ref="AD93:AG93"/>
    <mergeCell ref="AY93:AZ93"/>
    <mergeCell ref="AD91:AG91"/>
    <mergeCell ref="B92:D96"/>
    <mergeCell ref="E92:I92"/>
    <mergeCell ref="J92:M92"/>
    <mergeCell ref="N92:Q92"/>
    <mergeCell ref="R92:U92"/>
    <mergeCell ref="V92:Y92"/>
    <mergeCell ref="Z92:AC92"/>
    <mergeCell ref="AD92:AG92"/>
    <mergeCell ref="E94:I94"/>
    <mergeCell ref="B90:D91"/>
    <mergeCell ref="E90:I91"/>
    <mergeCell ref="J90:Q90"/>
    <mergeCell ref="R90:Y90"/>
    <mergeCell ref="Z90:AG90"/>
    <mergeCell ref="J91:M91"/>
    <mergeCell ref="N91:Q91"/>
    <mergeCell ref="R91:U91"/>
    <mergeCell ref="V91:Y91"/>
    <mergeCell ref="Z91:AC91"/>
    <mergeCell ref="AD96:AG96"/>
    <mergeCell ref="AI86:AK86"/>
    <mergeCell ref="B87:F87"/>
    <mergeCell ref="G87:K87"/>
    <mergeCell ref="L87:P87"/>
    <mergeCell ref="Q87:U87"/>
    <mergeCell ref="V87:Z87"/>
    <mergeCell ref="AA87:AE87"/>
    <mergeCell ref="AA85:AE85"/>
    <mergeCell ref="B86:F86"/>
    <mergeCell ref="G86:K86"/>
    <mergeCell ref="L86:P86"/>
    <mergeCell ref="Q86:U86"/>
    <mergeCell ref="V86:Z86"/>
    <mergeCell ref="AA86:AE86"/>
    <mergeCell ref="B82:G82"/>
    <mergeCell ref="H82:M82"/>
    <mergeCell ref="N82:S82"/>
    <mergeCell ref="T82:Y82"/>
    <mergeCell ref="Z82:AG82"/>
    <mergeCell ref="B85:F85"/>
    <mergeCell ref="G85:K85"/>
    <mergeCell ref="L85:P85"/>
    <mergeCell ref="Q85:U85"/>
    <mergeCell ref="V85:Z85"/>
    <mergeCell ref="B80:G80"/>
    <mergeCell ref="H80:M80"/>
    <mergeCell ref="N80:S80"/>
    <mergeCell ref="T80:Y80"/>
    <mergeCell ref="Z80:AG80"/>
    <mergeCell ref="B81:G81"/>
    <mergeCell ref="H81:M81"/>
    <mergeCell ref="N81:S81"/>
    <mergeCell ref="T81:Y81"/>
    <mergeCell ref="Z81:AG81"/>
    <mergeCell ref="B78:G78"/>
    <mergeCell ref="H78:M78"/>
    <mergeCell ref="N78:S78"/>
    <mergeCell ref="T78:Y78"/>
    <mergeCell ref="Z78:AG78"/>
    <mergeCell ref="B79:G79"/>
    <mergeCell ref="H79:M79"/>
    <mergeCell ref="N79:S79"/>
    <mergeCell ref="T79:Y79"/>
    <mergeCell ref="Z79:AG79"/>
    <mergeCell ref="H71:J72"/>
    <mergeCell ref="K71:L72"/>
    <mergeCell ref="M71:N72"/>
    <mergeCell ref="O71:Q72"/>
    <mergeCell ref="X73:Y73"/>
    <mergeCell ref="Z73:AB73"/>
    <mergeCell ref="AC73:AD73"/>
    <mergeCell ref="AE73:AG73"/>
    <mergeCell ref="B76:G77"/>
    <mergeCell ref="H76:Y76"/>
    <mergeCell ref="Z76:AG77"/>
    <mergeCell ref="H77:M77"/>
    <mergeCell ref="N77:S77"/>
    <mergeCell ref="T77:Y77"/>
    <mergeCell ref="AQ67:AR67"/>
    <mergeCell ref="AQ68:AR68"/>
    <mergeCell ref="V67:W68"/>
    <mergeCell ref="X67:Y68"/>
    <mergeCell ref="Z67:AB68"/>
    <mergeCell ref="AC67:AD68"/>
    <mergeCell ref="AE71:AG72"/>
    <mergeCell ref="B73:D73"/>
    <mergeCell ref="E73:G73"/>
    <mergeCell ref="H73:J73"/>
    <mergeCell ref="K73:L73"/>
    <mergeCell ref="M73:N73"/>
    <mergeCell ref="O73:Q73"/>
    <mergeCell ref="R73:S73"/>
    <mergeCell ref="T73:U73"/>
    <mergeCell ref="V73:W73"/>
    <mergeCell ref="R71:S72"/>
    <mergeCell ref="T71:U72"/>
    <mergeCell ref="V71:W72"/>
    <mergeCell ref="X71:Y72"/>
    <mergeCell ref="Z71:AB72"/>
    <mergeCell ref="AC71:AD72"/>
    <mergeCell ref="B71:D72"/>
    <mergeCell ref="E71:G72"/>
    <mergeCell ref="AQ63:AR63"/>
    <mergeCell ref="AQ64:AR64"/>
    <mergeCell ref="B69:D70"/>
    <mergeCell ref="E69:G70"/>
    <mergeCell ref="H69:J70"/>
    <mergeCell ref="K69:L70"/>
    <mergeCell ref="M69:N70"/>
    <mergeCell ref="O69:Q70"/>
    <mergeCell ref="R69:S70"/>
    <mergeCell ref="R67:S68"/>
    <mergeCell ref="T67:U68"/>
    <mergeCell ref="B67:D68"/>
    <mergeCell ref="E67:G68"/>
    <mergeCell ref="H67:J68"/>
    <mergeCell ref="K67:L68"/>
    <mergeCell ref="M67:N68"/>
    <mergeCell ref="O67:Q68"/>
    <mergeCell ref="T69:U70"/>
    <mergeCell ref="V69:W70"/>
    <mergeCell ref="X69:Y70"/>
    <mergeCell ref="Z69:AB70"/>
    <mergeCell ref="AC69:AD70"/>
    <mergeCell ref="AE69:AG70"/>
    <mergeCell ref="AE67:AG68"/>
    <mergeCell ref="B65:D66"/>
    <mergeCell ref="E65:G66"/>
    <mergeCell ref="H65:J66"/>
    <mergeCell ref="K65:L66"/>
    <mergeCell ref="M65:N66"/>
    <mergeCell ref="O65:Q66"/>
    <mergeCell ref="R65:S66"/>
    <mergeCell ref="T65:U66"/>
    <mergeCell ref="AQ61:AR61"/>
    <mergeCell ref="F62:I62"/>
    <mergeCell ref="J62:M62"/>
    <mergeCell ref="N62:Q62"/>
    <mergeCell ref="R62:U62"/>
    <mergeCell ref="V62:Y62"/>
    <mergeCell ref="Z62:AC62"/>
    <mergeCell ref="AD62:AG62"/>
    <mergeCell ref="AQ62:AR62"/>
    <mergeCell ref="V65:W66"/>
    <mergeCell ref="X65:Y66"/>
    <mergeCell ref="Z65:AB66"/>
    <mergeCell ref="AC65:AD66"/>
    <mergeCell ref="AE65:AG66"/>
    <mergeCell ref="AQ65:AR65"/>
    <mergeCell ref="AQ66:AR66"/>
    <mergeCell ref="V58:Y58"/>
    <mergeCell ref="Z58:AC58"/>
    <mergeCell ref="AD58:AG58"/>
    <mergeCell ref="B61:E62"/>
    <mergeCell ref="F61:I61"/>
    <mergeCell ref="J61:M61"/>
    <mergeCell ref="N61:Q61"/>
    <mergeCell ref="R61:U61"/>
    <mergeCell ref="V61:Y61"/>
    <mergeCell ref="Z61:AC61"/>
    <mergeCell ref="AD61:AG61"/>
    <mergeCell ref="F60:I60"/>
    <mergeCell ref="J60:M60"/>
    <mergeCell ref="N60:Q60"/>
    <mergeCell ref="R60:U60"/>
    <mergeCell ref="V60:Y60"/>
    <mergeCell ref="Z60:AC60"/>
    <mergeCell ref="F57:I57"/>
    <mergeCell ref="J57:M57"/>
    <mergeCell ref="N57:Q57"/>
    <mergeCell ref="R57:U57"/>
    <mergeCell ref="V57:Y57"/>
    <mergeCell ref="Z57:AC57"/>
    <mergeCell ref="AQ58:AR58"/>
    <mergeCell ref="B59:E60"/>
    <mergeCell ref="F59:I59"/>
    <mergeCell ref="J59:M59"/>
    <mergeCell ref="N59:Q59"/>
    <mergeCell ref="R59:U59"/>
    <mergeCell ref="V59:Y59"/>
    <mergeCell ref="Z59:AC59"/>
    <mergeCell ref="AD59:AG59"/>
    <mergeCell ref="AQ59:AR59"/>
    <mergeCell ref="B57:E58"/>
    <mergeCell ref="AD60:AG60"/>
    <mergeCell ref="AQ60:AR60"/>
    <mergeCell ref="AD57:AG57"/>
    <mergeCell ref="F58:I58"/>
    <mergeCell ref="J58:M58"/>
    <mergeCell ref="N58:Q58"/>
    <mergeCell ref="R58:U58"/>
    <mergeCell ref="W48:X48"/>
    <mergeCell ref="AC48:AD48"/>
    <mergeCell ref="D49:G49"/>
    <mergeCell ref="W49:X49"/>
    <mergeCell ref="AC49:AD49"/>
    <mergeCell ref="B56:E56"/>
    <mergeCell ref="F56:I56"/>
    <mergeCell ref="J56:M56"/>
    <mergeCell ref="N56:Q56"/>
    <mergeCell ref="R56:U56"/>
    <mergeCell ref="B39:C49"/>
    <mergeCell ref="D39:F39"/>
    <mergeCell ref="G39:H39"/>
    <mergeCell ref="L39:M39"/>
    <mergeCell ref="Q39:R39"/>
    <mergeCell ref="W39:X39"/>
    <mergeCell ref="AC39:AD39"/>
    <mergeCell ref="V56:Y56"/>
    <mergeCell ref="Z56:AC56"/>
    <mergeCell ref="AD56:AG56"/>
    <mergeCell ref="W45:X45"/>
    <mergeCell ref="AC45:AD45"/>
    <mergeCell ref="W46:X46"/>
    <mergeCell ref="AC46:AD46"/>
    <mergeCell ref="W47:X47"/>
    <mergeCell ref="AC47:AD47"/>
    <mergeCell ref="D43:G43"/>
    <mergeCell ref="Q43:R43"/>
    <mergeCell ref="W43:X43"/>
    <mergeCell ref="AC43:AD43"/>
    <mergeCell ref="W44:X44"/>
    <mergeCell ref="AC44:AD44"/>
    <mergeCell ref="AJ39:AM39"/>
    <mergeCell ref="D40:G40"/>
    <mergeCell ref="AJ41:AM41"/>
    <mergeCell ref="D42:G42"/>
    <mergeCell ref="L42:M42"/>
    <mergeCell ref="Q42:R42"/>
    <mergeCell ref="W42:X42"/>
    <mergeCell ref="AC42:AD42"/>
    <mergeCell ref="L40:M40"/>
    <mergeCell ref="Q40:R40"/>
    <mergeCell ref="W40:X40"/>
    <mergeCell ref="AC40:AD40"/>
    <mergeCell ref="D41:G41"/>
    <mergeCell ref="L41:M41"/>
    <mergeCell ref="Q41:R41"/>
    <mergeCell ref="W41:X41"/>
    <mergeCell ref="AC41:AD41"/>
    <mergeCell ref="AE37:AG37"/>
    <mergeCell ref="B38:C38"/>
    <mergeCell ref="D38:H38"/>
    <mergeCell ref="I38:M38"/>
    <mergeCell ref="N38:R38"/>
    <mergeCell ref="S38:X38"/>
    <mergeCell ref="Y38:AD38"/>
    <mergeCell ref="AE38:AG38"/>
    <mergeCell ref="AJ38:AM38"/>
    <mergeCell ref="W34:X34"/>
    <mergeCell ref="AC34:AD34"/>
    <mergeCell ref="D35:G35"/>
    <mergeCell ref="W35:X35"/>
    <mergeCell ref="AC35:AD35"/>
    <mergeCell ref="B37:C37"/>
    <mergeCell ref="D37:H37"/>
    <mergeCell ref="I37:M37"/>
    <mergeCell ref="N37:R37"/>
    <mergeCell ref="S37:X37"/>
    <mergeCell ref="B25:C35"/>
    <mergeCell ref="Y37:AD37"/>
    <mergeCell ref="W31:X31"/>
    <mergeCell ref="AC31:AD31"/>
    <mergeCell ref="W32:X32"/>
    <mergeCell ref="AC32:AD32"/>
    <mergeCell ref="W33:X33"/>
    <mergeCell ref="AC33:AD33"/>
    <mergeCell ref="D29:G29"/>
    <mergeCell ref="Q29:R29"/>
    <mergeCell ref="W29:X29"/>
    <mergeCell ref="AC29:AD29"/>
    <mergeCell ref="W30:X30"/>
    <mergeCell ref="AC30:AD30"/>
    <mergeCell ref="D28:G28"/>
    <mergeCell ref="L28:M28"/>
    <mergeCell ref="Q28:R28"/>
    <mergeCell ref="W28:X28"/>
    <mergeCell ref="AC28:AD28"/>
    <mergeCell ref="AC25:AD25"/>
    <mergeCell ref="D26:G26"/>
    <mergeCell ref="L26:M26"/>
    <mergeCell ref="Q26:R26"/>
    <mergeCell ref="W26:X26"/>
    <mergeCell ref="AC26:AD26"/>
    <mergeCell ref="D25:F25"/>
    <mergeCell ref="G25:H25"/>
    <mergeCell ref="L25:M25"/>
    <mergeCell ref="Q25:R25"/>
    <mergeCell ref="W25:X25"/>
    <mergeCell ref="D27:G27"/>
    <mergeCell ref="L27:M27"/>
    <mergeCell ref="Q27:R27"/>
    <mergeCell ref="W27:X27"/>
    <mergeCell ref="AE23:AG23"/>
    <mergeCell ref="B24:C24"/>
    <mergeCell ref="D24:H24"/>
    <mergeCell ref="I24:M24"/>
    <mergeCell ref="N24:R24"/>
    <mergeCell ref="S24:X24"/>
    <mergeCell ref="Y24:AD24"/>
    <mergeCell ref="AE24:AG24"/>
    <mergeCell ref="AC27:AD27"/>
    <mergeCell ref="D19:H19"/>
    <mergeCell ref="I19:M19"/>
    <mergeCell ref="N19:R19"/>
    <mergeCell ref="B23:C23"/>
    <mergeCell ref="D23:H23"/>
    <mergeCell ref="I23:M23"/>
    <mergeCell ref="N23:R23"/>
    <mergeCell ref="AH17:AK17"/>
    <mergeCell ref="AX17:AY17"/>
    <mergeCell ref="B18:H18"/>
    <mergeCell ref="I18:M18"/>
    <mergeCell ref="N18:R18"/>
    <mergeCell ref="S18:W18"/>
    <mergeCell ref="X18:AA18"/>
    <mergeCell ref="AC18:AG18"/>
    <mergeCell ref="AH18:AK18"/>
    <mergeCell ref="B17:H17"/>
    <mergeCell ref="I17:M17"/>
    <mergeCell ref="N17:R17"/>
    <mergeCell ref="S17:W17"/>
    <mergeCell ref="X17:AA17"/>
    <mergeCell ref="AC17:AG17"/>
    <mergeCell ref="S23:X23"/>
    <mergeCell ref="Y23:AD23"/>
    <mergeCell ref="AH15:AK15"/>
    <mergeCell ref="B16:H16"/>
    <mergeCell ref="I16:M16"/>
    <mergeCell ref="N16:R16"/>
    <mergeCell ref="S16:W16"/>
    <mergeCell ref="X16:AA16"/>
    <mergeCell ref="AC16:AG16"/>
    <mergeCell ref="AH16:AK16"/>
    <mergeCell ref="B15:H15"/>
    <mergeCell ref="I15:M15"/>
    <mergeCell ref="N15:R15"/>
    <mergeCell ref="S15:W15"/>
    <mergeCell ref="X15:AA15"/>
    <mergeCell ref="AC15:AG15"/>
    <mergeCell ref="AH13:AK13"/>
    <mergeCell ref="I14:M14"/>
    <mergeCell ref="N14:R14"/>
    <mergeCell ref="S14:W14"/>
    <mergeCell ref="X14:AA14"/>
    <mergeCell ref="AC14:AG14"/>
    <mergeCell ref="AH14:AK14"/>
    <mergeCell ref="Y11:AA11"/>
    <mergeCell ref="AC11:AG12"/>
    <mergeCell ref="Y12:AA12"/>
    <mergeCell ref="I13:M13"/>
    <mergeCell ref="N13:R13"/>
    <mergeCell ref="S13:W13"/>
    <mergeCell ref="X13:AA13"/>
    <mergeCell ref="AC13:AG13"/>
    <mergeCell ref="I7:M7"/>
    <mergeCell ref="I8:M8"/>
    <mergeCell ref="V8:X8"/>
    <mergeCell ref="B11:H12"/>
    <mergeCell ref="I11:M12"/>
    <mergeCell ref="N11:R12"/>
    <mergeCell ref="S11:W12"/>
    <mergeCell ref="A1:AG2"/>
    <mergeCell ref="AA3:AG4"/>
    <mergeCell ref="AA5:AG5"/>
    <mergeCell ref="B6:D6"/>
    <mergeCell ref="F6:L6"/>
    <mergeCell ref="M6:O6"/>
  </mergeCells>
  <phoneticPr fontId="9"/>
  <pageMargins left="0.59055118110236227" right="0.39370078740157483" top="0.39370078740157483" bottom="0.39370078740157483" header="0" footer="0"/>
  <pageSetup paperSize="9" scale="99" orientation="portrait" copies="9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T113"/>
  <sheetViews>
    <sheetView view="pageBreakPreview" zoomScaleNormal="100" zoomScaleSheetLayoutView="100" workbookViewId="0">
      <selection activeCell="AA5" sqref="AA5:AG5"/>
    </sheetView>
  </sheetViews>
  <sheetFormatPr defaultColWidth="2.625" defaultRowHeight="15.6" customHeight="1" x14ac:dyDescent="0.15"/>
  <cols>
    <col min="1" max="1" width="2.625" style="69"/>
    <col min="2" max="29" width="2.625" style="4"/>
    <col min="30" max="30" width="2.625" style="4" customWidth="1"/>
    <col min="31" max="33" width="2.625" style="4"/>
    <col min="34" max="35" width="2.625" style="7"/>
    <col min="36" max="36" width="8.5" style="7" bestFit="1" customWidth="1"/>
    <col min="37" max="37" width="3.5" style="7" bestFit="1" customWidth="1"/>
    <col min="38" max="42" width="2.625" style="7"/>
    <col min="43" max="43" width="3.5" style="7" bestFit="1" customWidth="1"/>
    <col min="44" max="47" width="2.625" style="7"/>
    <col min="48" max="50" width="2.625" style="4"/>
    <col min="51" max="52" width="2.625" style="79"/>
    <col min="53" max="16384" width="2.625" style="4"/>
  </cols>
  <sheetData>
    <row r="1" spans="1:52" ht="15.6" customHeight="1" x14ac:dyDescent="0.15">
      <c r="A1" s="562" t="s">
        <v>6</v>
      </c>
      <c r="B1" s="562"/>
      <c r="C1" s="562"/>
      <c r="D1" s="562"/>
      <c r="E1" s="562"/>
      <c r="F1" s="562"/>
      <c r="G1" s="562"/>
      <c r="H1" s="562"/>
      <c r="I1" s="562"/>
      <c r="J1" s="562"/>
      <c r="K1" s="562"/>
      <c r="L1" s="562"/>
      <c r="M1" s="562"/>
      <c r="N1" s="562"/>
      <c r="O1" s="562"/>
      <c r="P1" s="562"/>
      <c r="Q1" s="562"/>
      <c r="R1" s="562"/>
      <c r="S1" s="562"/>
      <c r="T1" s="562"/>
      <c r="U1" s="562"/>
      <c r="V1" s="562"/>
      <c r="W1" s="562"/>
      <c r="X1" s="562"/>
      <c r="Y1" s="562"/>
      <c r="Z1" s="562"/>
      <c r="AA1" s="562"/>
      <c r="AB1" s="562"/>
      <c r="AC1" s="562"/>
      <c r="AD1" s="562"/>
      <c r="AE1" s="562"/>
      <c r="AF1" s="562"/>
      <c r="AG1" s="562"/>
      <c r="AH1" s="20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</row>
    <row r="2" spans="1:52" ht="15.6" customHeight="1" x14ac:dyDescent="0.15">
      <c r="A2" s="562"/>
      <c r="B2" s="562"/>
      <c r="C2" s="562"/>
      <c r="D2" s="562"/>
      <c r="E2" s="562"/>
      <c r="F2" s="562"/>
      <c r="G2" s="562"/>
      <c r="H2" s="562"/>
      <c r="I2" s="562"/>
      <c r="J2" s="562"/>
      <c r="K2" s="562"/>
      <c r="L2" s="562"/>
      <c r="M2" s="562"/>
      <c r="N2" s="562"/>
      <c r="O2" s="562"/>
      <c r="P2" s="562"/>
      <c r="Q2" s="562"/>
      <c r="R2" s="562"/>
      <c r="S2" s="562"/>
      <c r="T2" s="562"/>
      <c r="U2" s="562"/>
      <c r="V2" s="562"/>
      <c r="W2" s="562"/>
      <c r="X2" s="562"/>
      <c r="Y2" s="562"/>
      <c r="Z2" s="562"/>
      <c r="AA2" s="562"/>
      <c r="AB2" s="562"/>
      <c r="AC2" s="562"/>
      <c r="AD2" s="562"/>
      <c r="AE2" s="562"/>
      <c r="AF2" s="562"/>
      <c r="AG2" s="562"/>
      <c r="AH2" s="20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</row>
    <row r="3" spans="1:52" s="3" customFormat="1" ht="15.6" customHeight="1" x14ac:dyDescent="0.15">
      <c r="A3" s="49"/>
      <c r="B3" s="41"/>
      <c r="C3" s="42"/>
      <c r="D3" s="42"/>
      <c r="E3" s="42"/>
      <c r="F3" s="42"/>
      <c r="G3" s="42"/>
      <c r="H3" s="42"/>
      <c r="I3" s="42"/>
      <c r="J3" s="42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33"/>
      <c r="W3" s="33"/>
      <c r="X3" s="33"/>
      <c r="Y3" s="33"/>
      <c r="Z3" s="33"/>
      <c r="AA3" s="563" t="s">
        <v>107</v>
      </c>
      <c r="AB3" s="563"/>
      <c r="AC3" s="563"/>
      <c r="AD3" s="563"/>
      <c r="AE3" s="563"/>
      <c r="AF3" s="563"/>
      <c r="AG3" s="563"/>
      <c r="AH3" s="21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Y3" s="79"/>
      <c r="AZ3" s="79"/>
    </row>
    <row r="4" spans="1:52" s="3" customFormat="1" ht="15.6" customHeight="1" x14ac:dyDescent="0.15">
      <c r="A4" s="49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33"/>
      <c r="W4" s="33"/>
      <c r="X4" s="33"/>
      <c r="Y4" s="33"/>
      <c r="Z4" s="33"/>
      <c r="AA4" s="563"/>
      <c r="AB4" s="563"/>
      <c r="AC4" s="563"/>
      <c r="AD4" s="563"/>
      <c r="AE4" s="563"/>
      <c r="AF4" s="563"/>
      <c r="AG4" s="563"/>
      <c r="AH4" s="21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Y4" s="79"/>
      <c r="AZ4" s="79"/>
    </row>
    <row r="5" spans="1:52" s="3" customFormat="1" ht="15.6" customHeight="1" x14ac:dyDescent="0.15">
      <c r="A5" s="49" t="s">
        <v>66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21"/>
      <c r="W5" s="21"/>
      <c r="X5" s="21"/>
      <c r="Y5" s="21"/>
      <c r="Z5" s="21"/>
      <c r="AA5" s="891" t="s">
        <v>233</v>
      </c>
      <c r="AB5" s="564"/>
      <c r="AC5" s="564"/>
      <c r="AD5" s="564"/>
      <c r="AE5" s="564"/>
      <c r="AF5" s="564"/>
      <c r="AG5" s="564"/>
      <c r="AH5" s="21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Y5" s="79"/>
      <c r="AZ5" s="79"/>
    </row>
    <row r="6" spans="1:52" s="3" customFormat="1" ht="15.6" customHeight="1" x14ac:dyDescent="0.15">
      <c r="A6" s="49" t="s">
        <v>7</v>
      </c>
      <c r="B6" s="828" t="s">
        <v>108</v>
      </c>
      <c r="C6" s="828"/>
      <c r="D6" s="828"/>
      <c r="E6" s="35" t="s">
        <v>109</v>
      </c>
      <c r="F6" s="566">
        <v>44866</v>
      </c>
      <c r="G6" s="566"/>
      <c r="H6" s="566"/>
      <c r="I6" s="566"/>
      <c r="J6" s="566"/>
      <c r="K6" s="566"/>
      <c r="L6" s="566"/>
      <c r="M6" s="826" t="s">
        <v>111</v>
      </c>
      <c r="N6" s="826"/>
      <c r="O6" s="826"/>
      <c r="P6" s="16"/>
      <c r="Q6" s="16"/>
      <c r="R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Y6" s="79"/>
      <c r="AZ6" s="79"/>
    </row>
    <row r="7" spans="1:52" s="3" customFormat="1" ht="15.6" customHeight="1" x14ac:dyDescent="0.15">
      <c r="A7" s="49"/>
      <c r="B7" s="16"/>
      <c r="C7" s="16" t="s">
        <v>65</v>
      </c>
      <c r="D7" s="15"/>
      <c r="E7" s="16"/>
      <c r="F7" s="49"/>
      <c r="G7" s="49"/>
      <c r="H7" s="49"/>
      <c r="I7" s="824">
        <v>224049</v>
      </c>
      <c r="J7" s="824"/>
      <c r="K7" s="824"/>
      <c r="L7" s="824"/>
      <c r="M7" s="824"/>
      <c r="N7" s="49" t="s">
        <v>8</v>
      </c>
      <c r="O7" s="49"/>
      <c r="P7" s="364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Y7" s="79"/>
      <c r="AZ7" s="79"/>
    </row>
    <row r="8" spans="1:52" s="3" customFormat="1" ht="15.6" customHeight="1" x14ac:dyDescent="0.15">
      <c r="A8" s="49"/>
      <c r="B8" s="16"/>
      <c r="C8" s="16" t="s">
        <v>9</v>
      </c>
      <c r="D8" s="16"/>
      <c r="E8" s="16"/>
      <c r="F8" s="49"/>
      <c r="G8" s="49"/>
      <c r="H8" s="49"/>
      <c r="I8" s="825">
        <v>103482</v>
      </c>
      <c r="J8" s="824"/>
      <c r="K8" s="824"/>
      <c r="L8" s="824"/>
      <c r="M8" s="824"/>
      <c r="N8" s="49" t="s">
        <v>10</v>
      </c>
      <c r="O8" s="49"/>
      <c r="P8" s="16" t="s">
        <v>11</v>
      </c>
      <c r="Q8" s="16"/>
      <c r="R8" s="16"/>
      <c r="S8" s="16"/>
      <c r="T8" s="16"/>
      <c r="U8" s="16"/>
      <c r="V8" s="548">
        <f>I7/I8</f>
        <v>2.1651011770162927</v>
      </c>
      <c r="W8" s="548"/>
      <c r="X8" s="548"/>
      <c r="Y8" s="16" t="s">
        <v>12</v>
      </c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Y8" s="79"/>
      <c r="AZ8" s="79"/>
    </row>
    <row r="9" spans="1:52" s="3" customFormat="1" ht="15.6" customHeight="1" x14ac:dyDescent="0.15">
      <c r="A9" s="49"/>
      <c r="B9" s="16"/>
      <c r="C9" s="16"/>
      <c r="D9" s="16"/>
      <c r="E9" s="16"/>
      <c r="F9" s="16"/>
      <c r="G9" s="16"/>
      <c r="H9" s="16"/>
      <c r="I9" s="350"/>
      <c r="J9" s="349"/>
      <c r="K9" s="349"/>
      <c r="L9" s="349"/>
      <c r="M9" s="349"/>
      <c r="N9" s="16"/>
      <c r="O9" s="16"/>
      <c r="P9" s="16"/>
      <c r="Q9" s="16"/>
      <c r="R9" s="16"/>
      <c r="S9" s="16"/>
      <c r="T9" s="16"/>
      <c r="U9" s="16"/>
      <c r="V9" s="347"/>
      <c r="W9" s="347"/>
      <c r="X9" s="347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Y9" s="79"/>
      <c r="AZ9" s="79"/>
    </row>
    <row r="10" spans="1:52" s="3" customFormat="1" ht="15.6" customHeight="1" x14ac:dyDescent="0.15">
      <c r="A10" s="49" t="s">
        <v>5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Y10" s="79"/>
      <c r="AZ10" s="79"/>
    </row>
    <row r="11" spans="1:52" s="3" customFormat="1" ht="15.6" customHeight="1" x14ac:dyDescent="0.15">
      <c r="A11" s="49"/>
      <c r="B11" s="549" t="s">
        <v>67</v>
      </c>
      <c r="C11" s="550"/>
      <c r="D11" s="550"/>
      <c r="E11" s="550"/>
      <c r="F11" s="550"/>
      <c r="G11" s="550"/>
      <c r="H11" s="551"/>
      <c r="I11" s="555" t="s">
        <v>130</v>
      </c>
      <c r="J11" s="556"/>
      <c r="K11" s="556"/>
      <c r="L11" s="556"/>
      <c r="M11" s="557"/>
      <c r="N11" s="555" t="s">
        <v>131</v>
      </c>
      <c r="O11" s="556"/>
      <c r="P11" s="556"/>
      <c r="Q11" s="556"/>
      <c r="R11" s="557"/>
      <c r="S11" s="561" t="s">
        <v>13</v>
      </c>
      <c r="T11" s="556"/>
      <c r="U11" s="556"/>
      <c r="V11" s="556"/>
      <c r="W11" s="557"/>
      <c r="X11" s="29"/>
      <c r="Y11" s="581" t="s">
        <v>68</v>
      </c>
      <c r="Z11" s="581"/>
      <c r="AA11" s="581"/>
      <c r="AB11" s="30"/>
      <c r="AC11" s="561" t="s">
        <v>81</v>
      </c>
      <c r="AD11" s="556"/>
      <c r="AE11" s="556"/>
      <c r="AF11" s="556"/>
      <c r="AG11" s="557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Y11" s="79"/>
      <c r="AZ11" s="79"/>
    </row>
    <row r="12" spans="1:52" s="3" customFormat="1" ht="15.6" customHeight="1" x14ac:dyDescent="0.15">
      <c r="A12" s="49"/>
      <c r="B12" s="552"/>
      <c r="C12" s="553"/>
      <c r="D12" s="553"/>
      <c r="E12" s="553"/>
      <c r="F12" s="553"/>
      <c r="G12" s="553"/>
      <c r="H12" s="554"/>
      <c r="I12" s="558"/>
      <c r="J12" s="559"/>
      <c r="K12" s="559"/>
      <c r="L12" s="559"/>
      <c r="M12" s="560"/>
      <c r="N12" s="558"/>
      <c r="O12" s="559"/>
      <c r="P12" s="559"/>
      <c r="Q12" s="559"/>
      <c r="R12" s="560"/>
      <c r="S12" s="558"/>
      <c r="T12" s="559"/>
      <c r="U12" s="559"/>
      <c r="V12" s="559"/>
      <c r="W12" s="560"/>
      <c r="X12" s="31"/>
      <c r="Y12" s="581" t="s">
        <v>69</v>
      </c>
      <c r="Z12" s="581"/>
      <c r="AA12" s="581"/>
      <c r="AB12" s="32"/>
      <c r="AC12" s="558"/>
      <c r="AD12" s="559"/>
      <c r="AE12" s="559"/>
      <c r="AF12" s="559"/>
      <c r="AG12" s="560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Y12" s="79"/>
      <c r="AZ12" s="79"/>
    </row>
    <row r="13" spans="1:52" s="3" customFormat="1" ht="15.6" customHeight="1" x14ac:dyDescent="0.15">
      <c r="A13" s="49"/>
      <c r="B13" s="359" t="s">
        <v>126</v>
      </c>
      <c r="C13" s="360"/>
      <c r="D13" s="360"/>
      <c r="E13" s="360"/>
      <c r="F13" s="360"/>
      <c r="G13" s="360"/>
      <c r="H13" s="361"/>
      <c r="I13" s="570">
        <v>2329</v>
      </c>
      <c r="J13" s="571"/>
      <c r="K13" s="571"/>
      <c r="L13" s="571"/>
      <c r="M13" s="572"/>
      <c r="N13" s="570">
        <v>3076</v>
      </c>
      <c r="O13" s="571"/>
      <c r="P13" s="571"/>
      <c r="Q13" s="571"/>
      <c r="R13" s="572"/>
      <c r="S13" s="570">
        <v>28</v>
      </c>
      <c r="T13" s="571"/>
      <c r="U13" s="571"/>
      <c r="V13" s="571"/>
      <c r="W13" s="572"/>
      <c r="X13" s="582">
        <f t="shared" ref="X13:X16" si="0">I13/S13</f>
        <v>83.178571428571431</v>
      </c>
      <c r="Y13" s="583"/>
      <c r="Z13" s="583"/>
      <c r="AA13" s="583"/>
      <c r="AB13" s="34"/>
      <c r="AC13" s="584">
        <v>13.65933373002833</v>
      </c>
      <c r="AD13" s="585"/>
      <c r="AE13" s="585"/>
      <c r="AF13" s="585"/>
      <c r="AG13" s="586"/>
      <c r="AH13" s="568"/>
      <c r="AI13" s="569"/>
      <c r="AJ13" s="569"/>
      <c r="AK13" s="569"/>
      <c r="AL13" s="16"/>
      <c r="AM13" s="18"/>
      <c r="AN13" s="16"/>
      <c r="AO13" s="16"/>
      <c r="AP13" s="16"/>
      <c r="AQ13" s="16"/>
      <c r="AR13" s="16"/>
      <c r="AS13" s="16"/>
      <c r="AT13" s="16"/>
      <c r="AU13" s="16"/>
      <c r="AY13" s="79"/>
      <c r="AZ13" s="79"/>
    </row>
    <row r="14" spans="1:52" s="3" customFormat="1" ht="15.6" customHeight="1" x14ac:dyDescent="0.15">
      <c r="A14" s="49"/>
      <c r="B14" s="359" t="s">
        <v>129</v>
      </c>
      <c r="C14" s="360"/>
      <c r="D14" s="360"/>
      <c r="E14" s="360"/>
      <c r="F14" s="360"/>
      <c r="G14" s="360"/>
      <c r="H14" s="361"/>
      <c r="I14" s="570">
        <v>2409</v>
      </c>
      <c r="J14" s="571"/>
      <c r="K14" s="571"/>
      <c r="L14" s="571"/>
      <c r="M14" s="572"/>
      <c r="N14" s="570">
        <v>3167</v>
      </c>
      <c r="O14" s="571"/>
      <c r="P14" s="571"/>
      <c r="Q14" s="571"/>
      <c r="R14" s="572"/>
      <c r="S14" s="573">
        <v>28</v>
      </c>
      <c r="T14" s="574"/>
      <c r="U14" s="574"/>
      <c r="V14" s="574"/>
      <c r="W14" s="575"/>
      <c r="X14" s="576">
        <f>I14/S14</f>
        <v>86.035714285714292</v>
      </c>
      <c r="Y14" s="577"/>
      <c r="Z14" s="577"/>
      <c r="AA14" s="577"/>
      <c r="AB14" s="23"/>
      <c r="AC14" s="578">
        <v>14.09717121808996</v>
      </c>
      <c r="AD14" s="579"/>
      <c r="AE14" s="579"/>
      <c r="AF14" s="579"/>
      <c r="AG14" s="580"/>
      <c r="AH14" s="568"/>
      <c r="AI14" s="569"/>
      <c r="AJ14" s="569"/>
      <c r="AK14" s="569"/>
      <c r="AL14" s="16"/>
      <c r="AM14" s="18"/>
      <c r="AN14" s="16"/>
      <c r="AO14" s="16"/>
      <c r="AP14" s="16"/>
      <c r="AQ14" s="16"/>
      <c r="AR14" s="16"/>
      <c r="AS14" s="16"/>
      <c r="AT14" s="16"/>
      <c r="AU14" s="16"/>
      <c r="AY14" s="79"/>
      <c r="AZ14" s="79"/>
    </row>
    <row r="15" spans="1:52" s="3" customFormat="1" ht="15.6" customHeight="1" x14ac:dyDescent="0.15">
      <c r="A15" s="49"/>
      <c r="B15" s="589" t="s">
        <v>144</v>
      </c>
      <c r="C15" s="589"/>
      <c r="D15" s="589"/>
      <c r="E15" s="589"/>
      <c r="F15" s="589"/>
      <c r="G15" s="589"/>
      <c r="H15" s="589"/>
      <c r="I15" s="570">
        <v>2478</v>
      </c>
      <c r="J15" s="571"/>
      <c r="K15" s="571"/>
      <c r="L15" s="571"/>
      <c r="M15" s="572"/>
      <c r="N15" s="570">
        <v>3222</v>
      </c>
      <c r="O15" s="571"/>
      <c r="P15" s="571"/>
      <c r="Q15" s="571"/>
      <c r="R15" s="572"/>
      <c r="S15" s="570">
        <v>29</v>
      </c>
      <c r="T15" s="571"/>
      <c r="U15" s="571"/>
      <c r="V15" s="571"/>
      <c r="W15" s="572"/>
      <c r="X15" s="576">
        <f t="shared" si="0"/>
        <v>85.448275862068968</v>
      </c>
      <c r="Y15" s="577"/>
      <c r="Z15" s="577"/>
      <c r="AA15" s="577"/>
      <c r="AB15" s="23"/>
      <c r="AC15" s="578">
        <v>14.375008365344719</v>
      </c>
      <c r="AD15" s="579"/>
      <c r="AE15" s="579"/>
      <c r="AF15" s="579"/>
      <c r="AG15" s="580"/>
      <c r="AH15" s="587"/>
      <c r="AI15" s="588"/>
      <c r="AJ15" s="588"/>
      <c r="AK15" s="588"/>
      <c r="AL15" s="14"/>
      <c r="AM15" s="18"/>
      <c r="AN15" s="14"/>
      <c r="AO15" s="16"/>
      <c r="AP15" s="16"/>
      <c r="AQ15" s="16"/>
      <c r="AR15" s="16"/>
      <c r="AS15" s="16"/>
      <c r="AT15" s="16"/>
      <c r="AU15" s="16"/>
      <c r="AY15" s="79"/>
      <c r="AZ15" s="79"/>
    </row>
    <row r="16" spans="1:52" s="3" customFormat="1" ht="15.6" customHeight="1" x14ac:dyDescent="0.15">
      <c r="A16" s="49"/>
      <c r="B16" s="589" t="s">
        <v>148</v>
      </c>
      <c r="C16" s="589"/>
      <c r="D16" s="589"/>
      <c r="E16" s="589"/>
      <c r="F16" s="589"/>
      <c r="G16" s="589"/>
      <c r="H16" s="589"/>
      <c r="I16" s="570">
        <v>2523</v>
      </c>
      <c r="J16" s="571"/>
      <c r="K16" s="571"/>
      <c r="L16" s="571"/>
      <c r="M16" s="572"/>
      <c r="N16" s="570">
        <v>3258</v>
      </c>
      <c r="O16" s="571"/>
      <c r="P16" s="571"/>
      <c r="Q16" s="571"/>
      <c r="R16" s="572"/>
      <c r="S16" s="570">
        <v>30</v>
      </c>
      <c r="T16" s="571"/>
      <c r="U16" s="571"/>
      <c r="V16" s="571"/>
      <c r="W16" s="572"/>
      <c r="X16" s="576">
        <f t="shared" si="0"/>
        <v>84.1</v>
      </c>
      <c r="Y16" s="577"/>
      <c r="Z16" s="577"/>
      <c r="AA16" s="577"/>
      <c r="AB16" s="23"/>
      <c r="AC16" s="578">
        <v>14.560112977181111</v>
      </c>
      <c r="AD16" s="579"/>
      <c r="AE16" s="579"/>
      <c r="AF16" s="579"/>
      <c r="AG16" s="580"/>
      <c r="AH16" s="587"/>
      <c r="AI16" s="588"/>
      <c r="AJ16" s="588"/>
      <c r="AK16" s="588"/>
      <c r="AL16" s="14"/>
      <c r="AM16" s="18"/>
      <c r="AN16" s="14"/>
      <c r="AO16" s="14"/>
      <c r="AP16" s="14"/>
      <c r="AQ16" s="14"/>
      <c r="AR16" s="14"/>
      <c r="AS16" s="14"/>
      <c r="AT16" s="14"/>
      <c r="AU16" s="14"/>
      <c r="AY16" s="79"/>
      <c r="AZ16" s="79"/>
    </row>
    <row r="17" spans="1:52" s="3" customFormat="1" ht="15.6" customHeight="1" x14ac:dyDescent="0.15">
      <c r="A17" s="49"/>
      <c r="B17" s="604" t="s">
        <v>169</v>
      </c>
      <c r="C17" s="604"/>
      <c r="D17" s="604"/>
      <c r="E17" s="604"/>
      <c r="F17" s="604"/>
      <c r="G17" s="604"/>
      <c r="H17" s="604"/>
      <c r="I17" s="605">
        <v>2564</v>
      </c>
      <c r="J17" s="606"/>
      <c r="K17" s="606"/>
      <c r="L17" s="606"/>
      <c r="M17" s="607"/>
      <c r="N17" s="605">
        <v>3302</v>
      </c>
      <c r="O17" s="606"/>
      <c r="P17" s="606"/>
      <c r="Q17" s="606"/>
      <c r="R17" s="607"/>
      <c r="S17" s="570">
        <v>31</v>
      </c>
      <c r="T17" s="571"/>
      <c r="U17" s="571"/>
      <c r="V17" s="571"/>
      <c r="W17" s="572"/>
      <c r="X17" s="576">
        <f>I17/S17</f>
        <v>82.709677419354833</v>
      </c>
      <c r="Y17" s="577"/>
      <c r="Z17" s="577"/>
      <c r="AA17" s="577"/>
      <c r="AB17" s="23"/>
      <c r="AC17" s="578">
        <v>14.773652608878509</v>
      </c>
      <c r="AD17" s="579"/>
      <c r="AE17" s="579"/>
      <c r="AF17" s="579"/>
      <c r="AG17" s="580"/>
      <c r="AH17" s="587"/>
      <c r="AI17" s="588"/>
      <c r="AJ17" s="588"/>
      <c r="AK17" s="588"/>
      <c r="AL17" s="14"/>
      <c r="AM17" s="14"/>
      <c r="AN17" s="14"/>
      <c r="AO17" s="14"/>
      <c r="AP17" s="14"/>
      <c r="AQ17" s="14"/>
      <c r="AR17" s="14"/>
      <c r="AS17" s="14"/>
      <c r="AT17" s="14"/>
      <c r="AU17" s="39"/>
      <c r="AV17" s="38"/>
      <c r="AX17" s="596"/>
      <c r="AY17" s="596"/>
      <c r="AZ17" s="79"/>
    </row>
    <row r="18" spans="1:52" s="3" customFormat="1" ht="15.6" customHeight="1" x14ac:dyDescent="0.15">
      <c r="A18" s="49"/>
      <c r="B18" s="597" t="s">
        <v>205</v>
      </c>
      <c r="C18" s="597"/>
      <c r="D18" s="597"/>
      <c r="E18" s="597"/>
      <c r="F18" s="597"/>
      <c r="G18" s="597"/>
      <c r="H18" s="597"/>
      <c r="I18" s="598">
        <f>2552+4</f>
        <v>2556</v>
      </c>
      <c r="J18" s="599"/>
      <c r="K18" s="599"/>
      <c r="L18" s="599"/>
      <c r="M18" s="600"/>
      <c r="N18" s="598">
        <f>3238+4</f>
        <v>3242</v>
      </c>
      <c r="O18" s="599"/>
      <c r="P18" s="599"/>
      <c r="Q18" s="599"/>
      <c r="R18" s="600"/>
      <c r="S18" s="570">
        <v>31</v>
      </c>
      <c r="T18" s="571"/>
      <c r="U18" s="571"/>
      <c r="V18" s="571"/>
      <c r="W18" s="572"/>
      <c r="X18" s="576">
        <f>I18/S18</f>
        <v>82.451612903225808</v>
      </c>
      <c r="Y18" s="577"/>
      <c r="Z18" s="577"/>
      <c r="AA18" s="577"/>
      <c r="AB18" s="23"/>
      <c r="AC18" s="578">
        <v>14.470048962503737</v>
      </c>
      <c r="AD18" s="579"/>
      <c r="AE18" s="579"/>
      <c r="AF18" s="579"/>
      <c r="AG18" s="580"/>
      <c r="AH18" s="883"/>
      <c r="AI18" s="884"/>
      <c r="AJ18" s="884"/>
      <c r="AK18" s="884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38"/>
      <c r="AX18" s="345"/>
      <c r="AY18" s="345"/>
      <c r="AZ18" s="79"/>
    </row>
    <row r="19" spans="1:52" s="1" customFormat="1" ht="15.6" customHeight="1" x14ac:dyDescent="0.15">
      <c r="A19" s="49"/>
      <c r="B19" s="364"/>
      <c r="C19" s="16"/>
      <c r="D19" s="590" t="s">
        <v>79</v>
      </c>
      <c r="E19" s="590"/>
      <c r="F19" s="590"/>
      <c r="G19" s="590"/>
      <c r="H19" s="590"/>
      <c r="I19" s="591">
        <v>90</v>
      </c>
      <c r="J19" s="592"/>
      <c r="K19" s="592"/>
      <c r="L19" s="592"/>
      <c r="M19" s="593"/>
      <c r="N19" s="594">
        <v>177</v>
      </c>
      <c r="O19" s="594"/>
      <c r="P19" s="594"/>
      <c r="Q19" s="594"/>
      <c r="R19" s="594"/>
      <c r="S19" s="364"/>
      <c r="T19" s="18"/>
      <c r="U19" s="16"/>
      <c r="V19" s="16"/>
      <c r="W19" s="16"/>
      <c r="X19" s="16"/>
      <c r="Y19" s="16"/>
      <c r="Z19" s="16"/>
      <c r="AA19" s="16"/>
      <c r="AB19" s="346"/>
      <c r="AC19" s="346"/>
      <c r="AD19" s="346"/>
      <c r="AE19" s="346"/>
      <c r="AF19" s="16"/>
      <c r="AG19" s="16"/>
      <c r="AH19" s="16"/>
      <c r="AI19" s="71"/>
      <c r="AJ19" s="16"/>
      <c r="AK19" s="16"/>
      <c r="AL19" s="16"/>
      <c r="AM19" s="16"/>
      <c r="AN19" s="16"/>
      <c r="AO19" s="16"/>
      <c r="AP19" s="13"/>
      <c r="AQ19" s="13"/>
      <c r="AR19" s="13"/>
      <c r="AS19" s="13"/>
      <c r="AT19" s="13"/>
      <c r="AU19" s="13"/>
      <c r="AY19" s="335"/>
      <c r="AZ19" s="335"/>
    </row>
    <row r="20" spans="1:52" s="1" customFormat="1" ht="15.6" customHeight="1" x14ac:dyDescent="0.15">
      <c r="A20" s="49"/>
      <c r="B20" s="364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545"/>
      <c r="AI20" s="545"/>
      <c r="AJ20" s="545"/>
      <c r="AK20" s="545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Y20" s="335"/>
      <c r="AZ20" s="335"/>
    </row>
    <row r="21" spans="1:52" s="14" customFormat="1" ht="15.6" customHeight="1" x14ac:dyDescent="0.15">
      <c r="A21" s="50" t="s">
        <v>124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24"/>
      <c r="X21" s="24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Y21" s="80"/>
      <c r="AZ21" s="80"/>
    </row>
    <row r="22" spans="1:52" s="14" customFormat="1" ht="15.6" customHeight="1" x14ac:dyDescent="0.15">
      <c r="A22" s="348" t="s">
        <v>171</v>
      </c>
      <c r="B22" s="25"/>
      <c r="C22" s="25"/>
      <c r="D22" s="353"/>
      <c r="E22" s="353"/>
      <c r="F22" s="353"/>
      <c r="G22" s="353"/>
      <c r="H22" s="22"/>
      <c r="I22" s="353"/>
      <c r="J22" s="353"/>
      <c r="K22" s="353"/>
      <c r="L22" s="1" t="s">
        <v>73</v>
      </c>
      <c r="M22" s="22"/>
      <c r="N22" s="353"/>
      <c r="O22" s="353"/>
      <c r="P22" s="353"/>
      <c r="Q22" s="353"/>
      <c r="R22" s="22"/>
      <c r="S22" s="367"/>
      <c r="T22" s="353"/>
      <c r="U22" s="353"/>
      <c r="V22" s="368"/>
      <c r="W22" s="368"/>
      <c r="X22" s="26"/>
      <c r="Y22" s="367"/>
      <c r="Z22" s="367"/>
      <c r="AA22" s="367"/>
      <c r="AB22" s="368"/>
      <c r="AC22" s="353"/>
      <c r="AD22" s="353"/>
      <c r="AE22" s="353"/>
      <c r="AF22" s="353"/>
      <c r="AG22" s="353"/>
      <c r="AH22" s="24"/>
      <c r="AI22" s="24"/>
      <c r="AJ22" s="24"/>
      <c r="AK22" s="24"/>
      <c r="AL22" s="24"/>
      <c r="AM22" s="24"/>
      <c r="AY22" s="80"/>
      <c r="AZ22" s="80"/>
    </row>
    <row r="23" spans="1:52" s="14" customFormat="1" ht="15.6" customHeight="1" x14ac:dyDescent="0.15">
      <c r="A23" s="52"/>
      <c r="B23" s="595" t="s">
        <v>14</v>
      </c>
      <c r="C23" s="595"/>
      <c r="D23" s="595" t="s">
        <v>15</v>
      </c>
      <c r="E23" s="595"/>
      <c r="F23" s="595"/>
      <c r="G23" s="595"/>
      <c r="H23" s="595"/>
      <c r="I23" s="595" t="s">
        <v>16</v>
      </c>
      <c r="J23" s="595"/>
      <c r="K23" s="595"/>
      <c r="L23" s="595"/>
      <c r="M23" s="595"/>
      <c r="N23" s="595" t="s">
        <v>17</v>
      </c>
      <c r="O23" s="595"/>
      <c r="P23" s="595"/>
      <c r="Q23" s="595"/>
      <c r="R23" s="595"/>
      <c r="S23" s="608" t="s">
        <v>18</v>
      </c>
      <c r="T23" s="609"/>
      <c r="U23" s="609"/>
      <c r="V23" s="609"/>
      <c r="W23" s="609"/>
      <c r="X23" s="610"/>
      <c r="Y23" s="608" t="s">
        <v>19</v>
      </c>
      <c r="Z23" s="609"/>
      <c r="AA23" s="609"/>
      <c r="AB23" s="609"/>
      <c r="AC23" s="609"/>
      <c r="AD23" s="610"/>
      <c r="AE23" s="608" t="s">
        <v>72</v>
      </c>
      <c r="AF23" s="609"/>
      <c r="AG23" s="610"/>
      <c r="AH23" s="13"/>
      <c r="AI23" s="13"/>
      <c r="AJ23" s="13"/>
      <c r="AK23" s="13"/>
      <c r="AL23" s="13"/>
      <c r="AM23" s="13"/>
      <c r="AY23" s="80"/>
      <c r="AZ23" s="80"/>
    </row>
    <row r="24" spans="1:52" s="14" customFormat="1" ht="15.6" customHeight="1" x14ac:dyDescent="0.15">
      <c r="A24" s="49"/>
      <c r="B24" s="611" t="s">
        <v>9</v>
      </c>
      <c r="C24" s="611"/>
      <c r="D24" s="612">
        <v>365</v>
      </c>
      <c r="E24" s="612"/>
      <c r="F24" s="612"/>
      <c r="G24" s="612"/>
      <c r="H24" s="612"/>
      <c r="I24" s="612">
        <f>SUM(L25:M28)</f>
        <v>29</v>
      </c>
      <c r="J24" s="612"/>
      <c r="K24" s="612"/>
      <c r="L24" s="612"/>
      <c r="M24" s="612"/>
      <c r="N24" s="612">
        <f>SUM(Q25:R29)</f>
        <v>20</v>
      </c>
      <c r="O24" s="612"/>
      <c r="P24" s="612"/>
      <c r="Q24" s="612"/>
      <c r="R24" s="612"/>
      <c r="S24" s="613">
        <v>327</v>
      </c>
      <c r="T24" s="614"/>
      <c r="U24" s="614"/>
      <c r="V24" s="614"/>
      <c r="W24" s="614"/>
      <c r="X24" s="615"/>
      <c r="Y24" s="613">
        <v>286</v>
      </c>
      <c r="Z24" s="614"/>
      <c r="AA24" s="614"/>
      <c r="AB24" s="614"/>
      <c r="AC24" s="614"/>
      <c r="AD24" s="615"/>
      <c r="AE24" s="613">
        <f>S24-Y24</f>
        <v>41</v>
      </c>
      <c r="AF24" s="614"/>
      <c r="AG24" s="615"/>
      <c r="AH24" s="16"/>
      <c r="AI24" s="13"/>
      <c r="AJ24" s="13"/>
      <c r="AK24" s="16"/>
      <c r="AL24" s="16"/>
      <c r="AM24" s="16"/>
      <c r="AY24" s="80"/>
      <c r="AZ24" s="80"/>
    </row>
    <row r="25" spans="1:52" s="14" customFormat="1" ht="15.6" customHeight="1" x14ac:dyDescent="0.15">
      <c r="A25" s="49"/>
      <c r="B25" s="632" t="s">
        <v>21</v>
      </c>
      <c r="C25" s="633"/>
      <c r="D25" s="624"/>
      <c r="E25" s="625"/>
      <c r="F25" s="625"/>
      <c r="G25" s="626"/>
      <c r="H25" s="627"/>
      <c r="I25" s="57" t="s">
        <v>22</v>
      </c>
      <c r="J25" s="58"/>
      <c r="K25" s="58"/>
      <c r="L25" s="622">
        <v>8</v>
      </c>
      <c r="M25" s="623"/>
      <c r="N25" s="57" t="s">
        <v>62</v>
      </c>
      <c r="O25" s="58"/>
      <c r="P25" s="58"/>
      <c r="Q25" s="622">
        <v>13</v>
      </c>
      <c r="R25" s="623"/>
      <c r="S25" s="343" t="s">
        <v>23</v>
      </c>
      <c r="T25" s="344"/>
      <c r="U25" s="344"/>
      <c r="V25" s="344"/>
      <c r="W25" s="622">
        <v>54</v>
      </c>
      <c r="X25" s="623"/>
      <c r="Y25" s="57" t="s">
        <v>97</v>
      </c>
      <c r="Z25" s="344"/>
      <c r="AA25" s="344"/>
      <c r="AB25" s="344"/>
      <c r="AC25" s="622">
        <v>0</v>
      </c>
      <c r="AD25" s="623"/>
      <c r="AE25" s="356"/>
      <c r="AF25" s="357"/>
      <c r="AG25" s="5"/>
      <c r="AH25" s="16"/>
      <c r="AI25" s="13"/>
      <c r="AJ25" s="13"/>
      <c r="AK25" s="16"/>
      <c r="AL25" s="16"/>
      <c r="AM25" s="16"/>
      <c r="AY25" s="80"/>
      <c r="AZ25" s="80"/>
    </row>
    <row r="26" spans="1:52" s="14" customFormat="1" ht="15.6" customHeight="1" x14ac:dyDescent="0.15">
      <c r="A26" s="49"/>
      <c r="B26" s="634"/>
      <c r="C26" s="635"/>
      <c r="D26" s="620"/>
      <c r="E26" s="621"/>
      <c r="F26" s="621"/>
      <c r="G26" s="621"/>
      <c r="H26" s="59"/>
      <c r="I26" s="60" t="s">
        <v>0</v>
      </c>
      <c r="J26" s="61"/>
      <c r="K26" s="61"/>
      <c r="L26" s="616">
        <v>2</v>
      </c>
      <c r="M26" s="617"/>
      <c r="N26" s="60" t="s">
        <v>3</v>
      </c>
      <c r="O26" s="61"/>
      <c r="P26" s="61"/>
      <c r="Q26" s="616">
        <v>0</v>
      </c>
      <c r="R26" s="617"/>
      <c r="S26" s="341" t="s">
        <v>90</v>
      </c>
      <c r="T26" s="342"/>
      <c r="U26" s="342"/>
      <c r="V26" s="342"/>
      <c r="W26" s="616">
        <v>1</v>
      </c>
      <c r="X26" s="617"/>
      <c r="Y26" s="60" t="s">
        <v>4</v>
      </c>
      <c r="Z26" s="61"/>
      <c r="AA26" s="61"/>
      <c r="AB26" s="61"/>
      <c r="AC26" s="616">
        <v>105</v>
      </c>
      <c r="AD26" s="617"/>
      <c r="AE26" s="354"/>
      <c r="AF26" s="355"/>
      <c r="AG26" s="6"/>
      <c r="AH26" s="16"/>
      <c r="AI26" s="13"/>
      <c r="AJ26" s="13"/>
      <c r="AK26" s="16"/>
      <c r="AL26" s="16"/>
      <c r="AM26" s="16"/>
      <c r="AY26" s="80"/>
      <c r="AZ26" s="80"/>
    </row>
    <row r="27" spans="1:52" s="14" customFormat="1" ht="15.6" customHeight="1" x14ac:dyDescent="0.15">
      <c r="A27" s="49"/>
      <c r="B27" s="634"/>
      <c r="C27" s="635"/>
      <c r="D27" s="620"/>
      <c r="E27" s="621"/>
      <c r="F27" s="621"/>
      <c r="G27" s="621"/>
      <c r="H27" s="59"/>
      <c r="I27" s="60" t="s">
        <v>61</v>
      </c>
      <c r="J27" s="61"/>
      <c r="K27" s="61"/>
      <c r="L27" s="616">
        <v>4</v>
      </c>
      <c r="M27" s="617"/>
      <c r="N27" s="60" t="s">
        <v>0</v>
      </c>
      <c r="O27" s="61"/>
      <c r="P27" s="61"/>
      <c r="Q27" s="616">
        <v>0</v>
      </c>
      <c r="R27" s="617"/>
      <c r="S27" s="341" t="s">
        <v>91</v>
      </c>
      <c r="T27" s="342"/>
      <c r="U27" s="342"/>
      <c r="V27" s="342"/>
      <c r="W27" s="616">
        <v>9</v>
      </c>
      <c r="X27" s="617"/>
      <c r="Y27" s="60" t="s">
        <v>2</v>
      </c>
      <c r="Z27" s="62"/>
      <c r="AA27" s="62"/>
      <c r="AB27" s="62"/>
      <c r="AC27" s="616">
        <v>17</v>
      </c>
      <c r="AD27" s="617"/>
      <c r="AE27" s="354"/>
      <c r="AF27" s="355"/>
      <c r="AG27" s="6"/>
      <c r="AH27" s="16"/>
      <c r="AI27" s="13"/>
      <c r="AJ27" s="13"/>
      <c r="AK27" s="16"/>
      <c r="AL27" s="16"/>
      <c r="AM27" s="16"/>
      <c r="AQ27" s="18"/>
      <c r="AY27" s="80"/>
      <c r="AZ27" s="80"/>
    </row>
    <row r="28" spans="1:52" s="14" customFormat="1" ht="15.6" customHeight="1" x14ac:dyDescent="0.15">
      <c r="A28" s="49"/>
      <c r="B28" s="634"/>
      <c r="C28" s="635"/>
      <c r="D28" s="620"/>
      <c r="E28" s="621"/>
      <c r="F28" s="621"/>
      <c r="G28" s="621"/>
      <c r="H28" s="59"/>
      <c r="I28" s="60" t="s">
        <v>60</v>
      </c>
      <c r="J28" s="61"/>
      <c r="K28" s="61"/>
      <c r="L28" s="616">
        <v>15</v>
      </c>
      <c r="M28" s="617"/>
      <c r="N28" s="60" t="s">
        <v>4</v>
      </c>
      <c r="O28" s="61"/>
      <c r="P28" s="61"/>
      <c r="Q28" s="616">
        <v>0</v>
      </c>
      <c r="R28" s="617"/>
      <c r="S28" s="341" t="s">
        <v>92</v>
      </c>
      <c r="T28" s="342"/>
      <c r="U28" s="342"/>
      <c r="V28" s="342"/>
      <c r="W28" s="616">
        <v>54</v>
      </c>
      <c r="X28" s="617"/>
      <c r="Y28" s="60" t="s">
        <v>98</v>
      </c>
      <c r="Z28" s="61"/>
      <c r="AA28" s="61"/>
      <c r="AB28" s="61"/>
      <c r="AC28" s="616">
        <v>48</v>
      </c>
      <c r="AD28" s="617"/>
      <c r="AE28" s="354"/>
      <c r="AF28" s="355"/>
      <c r="AG28" s="6"/>
      <c r="AH28" s="16"/>
      <c r="AI28" s="13"/>
      <c r="AJ28" s="13"/>
      <c r="AK28" s="16"/>
      <c r="AL28" s="16"/>
      <c r="AM28" s="16"/>
      <c r="AY28" s="80"/>
      <c r="AZ28" s="80"/>
    </row>
    <row r="29" spans="1:52" s="14" customFormat="1" ht="15.6" customHeight="1" x14ac:dyDescent="0.15">
      <c r="A29" s="49"/>
      <c r="B29" s="634"/>
      <c r="C29" s="635"/>
      <c r="D29" s="620"/>
      <c r="E29" s="621"/>
      <c r="F29" s="621"/>
      <c r="G29" s="621"/>
      <c r="H29" s="59"/>
      <c r="I29" s="60"/>
      <c r="J29" s="61"/>
      <c r="K29" s="61"/>
      <c r="L29" s="61"/>
      <c r="M29" s="63"/>
      <c r="N29" s="60" t="s">
        <v>60</v>
      </c>
      <c r="O29" s="61"/>
      <c r="P29" s="61"/>
      <c r="Q29" s="616">
        <v>7</v>
      </c>
      <c r="R29" s="617"/>
      <c r="S29" s="341" t="s">
        <v>94</v>
      </c>
      <c r="T29" s="342"/>
      <c r="U29" s="342"/>
      <c r="V29" s="342"/>
      <c r="W29" s="616">
        <v>16</v>
      </c>
      <c r="X29" s="617"/>
      <c r="Y29" s="60" t="s">
        <v>99</v>
      </c>
      <c r="Z29" s="61"/>
      <c r="AA29" s="61"/>
      <c r="AB29" s="61"/>
      <c r="AC29" s="618">
        <v>3</v>
      </c>
      <c r="AD29" s="619"/>
      <c r="AE29" s="354"/>
      <c r="AF29" s="355"/>
      <c r="AG29" s="6"/>
      <c r="AH29" s="16"/>
      <c r="AI29" s="13"/>
      <c r="AJ29" s="13"/>
      <c r="AK29" s="16"/>
      <c r="AL29" s="16"/>
      <c r="AM29" s="16"/>
      <c r="AY29" s="80"/>
      <c r="AZ29" s="80"/>
    </row>
    <row r="30" spans="1:52" s="14" customFormat="1" ht="15.6" customHeight="1" x14ac:dyDescent="0.15">
      <c r="A30" s="49"/>
      <c r="B30" s="634"/>
      <c r="C30" s="635"/>
      <c r="D30" s="341"/>
      <c r="E30" s="342"/>
      <c r="F30" s="342"/>
      <c r="G30" s="342"/>
      <c r="H30" s="59"/>
      <c r="I30" s="60"/>
      <c r="J30" s="61"/>
      <c r="K30" s="61"/>
      <c r="L30" s="61"/>
      <c r="M30" s="63"/>
      <c r="N30" s="60"/>
      <c r="O30" s="61"/>
      <c r="P30" s="61"/>
      <c r="Q30" s="336"/>
      <c r="R30" s="337"/>
      <c r="S30" s="341" t="s">
        <v>93</v>
      </c>
      <c r="T30" s="342"/>
      <c r="U30" s="342"/>
      <c r="V30" s="342"/>
      <c r="W30" s="616">
        <v>0</v>
      </c>
      <c r="X30" s="617"/>
      <c r="Y30" s="60" t="s">
        <v>100</v>
      </c>
      <c r="Z30" s="61"/>
      <c r="AA30" s="61"/>
      <c r="AB30" s="61"/>
      <c r="AC30" s="618">
        <v>12</v>
      </c>
      <c r="AD30" s="619"/>
      <c r="AE30" s="354"/>
      <c r="AF30" s="355"/>
      <c r="AG30" s="6"/>
      <c r="AH30" s="16"/>
      <c r="AI30" s="13"/>
      <c r="AJ30" s="13"/>
      <c r="AK30" s="16"/>
      <c r="AL30" s="16"/>
      <c r="AM30" s="16"/>
      <c r="AY30" s="80"/>
      <c r="AZ30" s="80"/>
    </row>
    <row r="31" spans="1:52" s="14" customFormat="1" ht="15.6" customHeight="1" x14ac:dyDescent="0.15">
      <c r="A31" s="49"/>
      <c r="B31" s="634"/>
      <c r="C31" s="635"/>
      <c r="D31" s="341"/>
      <c r="E31" s="342"/>
      <c r="F31" s="342"/>
      <c r="G31" s="342"/>
      <c r="H31" s="59"/>
      <c r="I31" s="60"/>
      <c r="J31" s="61"/>
      <c r="K31" s="61"/>
      <c r="L31" s="61"/>
      <c r="M31" s="63"/>
      <c r="N31" s="60"/>
      <c r="O31" s="61"/>
      <c r="P31" s="61"/>
      <c r="Q31" s="336"/>
      <c r="R31" s="337"/>
      <c r="S31" s="341" t="s">
        <v>95</v>
      </c>
      <c r="T31" s="342"/>
      <c r="U31" s="342"/>
      <c r="V31" s="342"/>
      <c r="W31" s="616">
        <v>29</v>
      </c>
      <c r="X31" s="617"/>
      <c r="Y31" s="60" t="s">
        <v>101</v>
      </c>
      <c r="Z31" s="61"/>
      <c r="AA31" s="61"/>
      <c r="AB31" s="61"/>
      <c r="AC31" s="618">
        <v>4</v>
      </c>
      <c r="AD31" s="619"/>
      <c r="AE31" s="354"/>
      <c r="AF31" s="355"/>
      <c r="AG31" s="6"/>
      <c r="AH31" s="16"/>
      <c r="AI31" s="16"/>
      <c r="AJ31" s="16"/>
      <c r="AK31" s="16"/>
      <c r="AL31" s="16"/>
      <c r="AM31" s="16"/>
      <c r="AY31" s="80"/>
      <c r="AZ31" s="80"/>
    </row>
    <row r="32" spans="1:52" s="14" customFormat="1" ht="15.6" customHeight="1" x14ac:dyDescent="0.15">
      <c r="A32" s="49"/>
      <c r="B32" s="634"/>
      <c r="C32" s="635"/>
      <c r="D32" s="341"/>
      <c r="E32" s="342"/>
      <c r="F32" s="342"/>
      <c r="G32" s="342"/>
      <c r="H32" s="59"/>
      <c r="I32" s="60"/>
      <c r="J32" s="61"/>
      <c r="K32" s="61"/>
      <c r="L32" s="61"/>
      <c r="M32" s="63"/>
      <c r="N32" s="60"/>
      <c r="O32" s="61"/>
      <c r="P32" s="61"/>
      <c r="Q32" s="336"/>
      <c r="R32" s="337"/>
      <c r="S32" s="341" t="s">
        <v>96</v>
      </c>
      <c r="T32" s="342"/>
      <c r="U32" s="342"/>
      <c r="V32" s="342"/>
      <c r="W32" s="616">
        <v>1</v>
      </c>
      <c r="X32" s="617"/>
      <c r="Y32" s="60" t="s">
        <v>103</v>
      </c>
      <c r="Z32" s="61"/>
      <c r="AA32" s="61"/>
      <c r="AB32" s="61"/>
      <c r="AC32" s="618">
        <v>22</v>
      </c>
      <c r="AD32" s="619"/>
      <c r="AE32" s="354"/>
      <c r="AF32" s="355"/>
      <c r="AG32" s="6"/>
      <c r="AH32" s="16"/>
      <c r="AI32" s="16"/>
      <c r="AJ32" s="16"/>
      <c r="AK32" s="16"/>
      <c r="AL32" s="16"/>
      <c r="AM32" s="16"/>
      <c r="AY32" s="80"/>
      <c r="AZ32" s="80"/>
    </row>
    <row r="33" spans="1:72" s="14" customFormat="1" ht="15.6" customHeight="1" x14ac:dyDescent="0.15">
      <c r="A33" s="49"/>
      <c r="B33" s="634"/>
      <c r="C33" s="635"/>
      <c r="D33" s="341"/>
      <c r="E33" s="342"/>
      <c r="F33" s="342"/>
      <c r="G33" s="342"/>
      <c r="H33" s="59"/>
      <c r="I33" s="60"/>
      <c r="J33" s="61"/>
      <c r="K33" s="61"/>
      <c r="L33" s="61"/>
      <c r="M33" s="63"/>
      <c r="N33" s="60"/>
      <c r="O33" s="61"/>
      <c r="P33" s="61"/>
      <c r="Q33" s="336"/>
      <c r="R33" s="337"/>
      <c r="S33" s="341" t="s">
        <v>80</v>
      </c>
      <c r="T33" s="342"/>
      <c r="U33" s="342"/>
      <c r="V33" s="342"/>
      <c r="W33" s="616">
        <v>112</v>
      </c>
      <c r="X33" s="617"/>
      <c r="Y33" s="60" t="s">
        <v>104</v>
      </c>
      <c r="Z33" s="61"/>
      <c r="AA33" s="61"/>
      <c r="AB33" s="61"/>
      <c r="AC33" s="618">
        <v>1</v>
      </c>
      <c r="AD33" s="619"/>
      <c r="AE33" s="354"/>
      <c r="AF33" s="355"/>
      <c r="AG33" s="6"/>
      <c r="AH33" s="16"/>
      <c r="AI33" s="16"/>
      <c r="AJ33" s="16"/>
      <c r="AK33" s="16"/>
      <c r="AL33" s="16"/>
      <c r="AM33" s="16"/>
      <c r="AY33" s="80"/>
      <c r="AZ33" s="80"/>
    </row>
    <row r="34" spans="1:72" s="3" customFormat="1" ht="15.6" customHeight="1" x14ac:dyDescent="0.15">
      <c r="A34" s="49"/>
      <c r="B34" s="634"/>
      <c r="C34" s="635"/>
      <c r="D34" s="341"/>
      <c r="E34" s="342"/>
      <c r="F34" s="342"/>
      <c r="G34" s="342"/>
      <c r="H34" s="59"/>
      <c r="I34" s="60"/>
      <c r="J34" s="61"/>
      <c r="K34" s="61"/>
      <c r="L34" s="61"/>
      <c r="M34" s="63"/>
      <c r="N34" s="60"/>
      <c r="O34" s="61"/>
      <c r="P34" s="61"/>
      <c r="Q34" s="336"/>
      <c r="R34" s="337"/>
      <c r="S34" s="341" t="s">
        <v>102</v>
      </c>
      <c r="T34" s="342"/>
      <c r="U34" s="342"/>
      <c r="V34" s="342"/>
      <c r="W34" s="616">
        <v>3</v>
      </c>
      <c r="X34" s="617"/>
      <c r="Y34" s="60" t="s">
        <v>105</v>
      </c>
      <c r="Z34" s="61"/>
      <c r="AA34" s="61"/>
      <c r="AB34" s="61"/>
      <c r="AC34" s="618">
        <v>45</v>
      </c>
      <c r="AD34" s="619"/>
      <c r="AE34" s="354"/>
      <c r="AF34" s="355"/>
      <c r="AG34" s="6"/>
      <c r="AH34" s="16"/>
      <c r="AI34" s="16"/>
      <c r="AJ34" s="16"/>
      <c r="AK34" s="16"/>
      <c r="AL34" s="16"/>
      <c r="AM34" s="16"/>
      <c r="AN34" s="14"/>
      <c r="AO34" s="14"/>
      <c r="AP34" s="14"/>
      <c r="AQ34" s="14"/>
      <c r="AR34" s="14"/>
      <c r="AS34" s="14"/>
      <c r="AT34" s="14"/>
      <c r="AU34" s="14"/>
      <c r="AY34" s="79"/>
      <c r="AZ34" s="79"/>
    </row>
    <row r="35" spans="1:72" s="2" customFormat="1" ht="15.6" customHeight="1" x14ac:dyDescent="0.15">
      <c r="A35" s="49"/>
      <c r="B35" s="636"/>
      <c r="C35" s="637"/>
      <c r="D35" s="628"/>
      <c r="E35" s="629"/>
      <c r="F35" s="629"/>
      <c r="G35" s="629"/>
      <c r="H35" s="64"/>
      <c r="I35" s="65"/>
      <c r="J35" s="66"/>
      <c r="K35" s="66"/>
      <c r="L35" s="66"/>
      <c r="M35" s="67"/>
      <c r="N35" s="65"/>
      <c r="O35" s="66"/>
      <c r="P35" s="66"/>
      <c r="Q35" s="66"/>
      <c r="R35" s="67"/>
      <c r="S35" s="338" t="s">
        <v>24</v>
      </c>
      <c r="T35" s="339"/>
      <c r="U35" s="339"/>
      <c r="V35" s="339"/>
      <c r="W35" s="630">
        <v>48</v>
      </c>
      <c r="X35" s="631"/>
      <c r="Y35" s="65" t="s">
        <v>24</v>
      </c>
      <c r="Z35" s="68"/>
      <c r="AA35" s="66"/>
      <c r="AB35" s="66"/>
      <c r="AC35" s="630">
        <v>29</v>
      </c>
      <c r="AD35" s="631"/>
      <c r="AE35" s="352"/>
      <c r="AF35" s="353"/>
      <c r="AG35" s="8"/>
      <c r="AH35" s="16"/>
      <c r="AI35" s="16"/>
      <c r="AJ35" s="16"/>
      <c r="AK35" s="16"/>
      <c r="AL35" s="16"/>
      <c r="AM35" s="16"/>
      <c r="AN35" s="537"/>
      <c r="AO35" s="537"/>
      <c r="AP35" s="537"/>
      <c r="AQ35" s="537"/>
      <c r="AR35" s="537"/>
      <c r="AS35" s="537"/>
      <c r="AT35" s="537"/>
      <c r="AU35" s="537"/>
      <c r="AY35" s="81"/>
      <c r="AZ35" s="81"/>
    </row>
    <row r="36" spans="1:72" s="14" customFormat="1" ht="15.6" customHeight="1" x14ac:dyDescent="0.15">
      <c r="A36" s="348" t="s">
        <v>206</v>
      </c>
      <c r="B36" s="227"/>
      <c r="C36" s="25"/>
      <c r="D36" s="353"/>
      <c r="E36" s="353"/>
      <c r="F36" s="353"/>
      <c r="G36" s="353"/>
      <c r="H36" s="48"/>
      <c r="I36" s="353"/>
      <c r="J36" s="353"/>
      <c r="K36" s="353"/>
      <c r="L36" s="353"/>
      <c r="M36" s="48"/>
      <c r="N36" s="353"/>
      <c r="O36" s="353"/>
      <c r="P36" s="353"/>
      <c r="Q36" s="353"/>
      <c r="R36" s="22"/>
      <c r="S36" s="367"/>
      <c r="T36" s="353"/>
      <c r="U36" s="353"/>
      <c r="V36" s="353"/>
      <c r="W36" s="368"/>
      <c r="X36" s="368"/>
      <c r="Y36" s="26"/>
      <c r="Z36" s="26"/>
      <c r="AA36" s="367"/>
      <c r="AB36" s="367"/>
      <c r="AC36" s="367"/>
      <c r="AD36" s="368"/>
      <c r="AE36" s="353"/>
      <c r="AF36" s="353"/>
      <c r="AG36" s="353"/>
      <c r="AH36" s="16"/>
      <c r="AI36" s="16"/>
      <c r="AJ36" s="16"/>
      <c r="AK36" s="16"/>
      <c r="AL36" s="18"/>
      <c r="AM36" s="16"/>
      <c r="AN36" s="17"/>
      <c r="AO36" s="10"/>
      <c r="AP36" s="10"/>
      <c r="AQ36" s="74"/>
      <c r="AR36" s="9"/>
      <c r="AS36" s="9"/>
      <c r="AT36" s="9"/>
      <c r="AU36" s="10"/>
      <c r="AV36" s="9"/>
      <c r="AW36" s="9"/>
      <c r="AX36" s="9"/>
      <c r="AY36" s="82"/>
      <c r="AZ36" s="82"/>
      <c r="BA36" s="9"/>
      <c r="BB36" s="9"/>
      <c r="BC36" s="9"/>
      <c r="BD36" s="9"/>
      <c r="BE36" s="10"/>
      <c r="BF36" s="9"/>
      <c r="BG36" s="9"/>
      <c r="BH36" s="9"/>
      <c r="BI36" s="11"/>
      <c r="BJ36" s="11"/>
      <c r="BK36" s="12"/>
      <c r="BL36" s="9"/>
      <c r="BM36" s="9"/>
      <c r="BN36" s="9"/>
      <c r="BO36" s="11"/>
      <c r="BP36" s="9"/>
      <c r="BQ36" s="9"/>
      <c r="BR36" s="9"/>
      <c r="BS36" s="9"/>
      <c r="BT36" s="355"/>
    </row>
    <row r="37" spans="1:72" s="14" customFormat="1" ht="15.6" customHeight="1" x14ac:dyDescent="0.15">
      <c r="A37" s="52"/>
      <c r="B37" s="595" t="s">
        <v>14</v>
      </c>
      <c r="C37" s="595"/>
      <c r="D37" s="595" t="s">
        <v>15</v>
      </c>
      <c r="E37" s="595"/>
      <c r="F37" s="595"/>
      <c r="G37" s="595"/>
      <c r="H37" s="595"/>
      <c r="I37" s="595" t="s">
        <v>16</v>
      </c>
      <c r="J37" s="595"/>
      <c r="K37" s="595"/>
      <c r="L37" s="595"/>
      <c r="M37" s="595"/>
      <c r="N37" s="595" t="s">
        <v>17</v>
      </c>
      <c r="O37" s="595"/>
      <c r="P37" s="595"/>
      <c r="Q37" s="595"/>
      <c r="R37" s="595"/>
      <c r="S37" s="608" t="s">
        <v>18</v>
      </c>
      <c r="T37" s="609"/>
      <c r="U37" s="609"/>
      <c r="V37" s="609"/>
      <c r="W37" s="609"/>
      <c r="X37" s="610"/>
      <c r="Y37" s="608" t="s">
        <v>19</v>
      </c>
      <c r="Z37" s="609"/>
      <c r="AA37" s="609"/>
      <c r="AB37" s="609"/>
      <c r="AC37" s="609"/>
      <c r="AD37" s="610"/>
      <c r="AE37" s="608" t="s">
        <v>72</v>
      </c>
      <c r="AF37" s="609"/>
      <c r="AG37" s="610"/>
      <c r="AH37" s="16"/>
      <c r="AI37" s="16"/>
      <c r="AJ37" s="16"/>
      <c r="AK37" s="16"/>
      <c r="AL37" s="16"/>
      <c r="AM37" s="16"/>
      <c r="AY37" s="80"/>
      <c r="AZ37" s="80"/>
    </row>
    <row r="38" spans="1:72" s="3" customFormat="1" ht="15.6" customHeight="1" x14ac:dyDescent="0.15">
      <c r="A38" s="49"/>
      <c r="B38" s="611" t="s">
        <v>9</v>
      </c>
      <c r="C38" s="611"/>
      <c r="D38" s="612">
        <f>25+35+25+24+27+31+35</f>
        <v>202</v>
      </c>
      <c r="E38" s="612"/>
      <c r="F38" s="612"/>
      <c r="G38" s="612"/>
      <c r="H38" s="612"/>
      <c r="I38" s="612">
        <f>3+4+5+0+0+0+1</f>
        <v>13</v>
      </c>
      <c r="J38" s="612"/>
      <c r="K38" s="612"/>
      <c r="L38" s="612"/>
      <c r="M38" s="612"/>
      <c r="N38" s="612">
        <f>1+0+4+1+3+3+5</f>
        <v>17</v>
      </c>
      <c r="O38" s="612"/>
      <c r="P38" s="612"/>
      <c r="Q38" s="612"/>
      <c r="R38" s="612"/>
      <c r="S38" s="638">
        <f>22+28+20+24+23+26+20</f>
        <v>163</v>
      </c>
      <c r="T38" s="639"/>
      <c r="U38" s="639"/>
      <c r="V38" s="639"/>
      <c r="W38" s="639"/>
      <c r="X38" s="640"/>
      <c r="Y38" s="638">
        <f>22+22+27+26+21+36+17</f>
        <v>171</v>
      </c>
      <c r="Z38" s="639"/>
      <c r="AA38" s="639"/>
      <c r="AB38" s="639"/>
      <c r="AC38" s="639"/>
      <c r="AD38" s="640"/>
      <c r="AE38" s="613">
        <f>S38-Y38</f>
        <v>-8</v>
      </c>
      <c r="AF38" s="614"/>
      <c r="AG38" s="615"/>
      <c r="AH38" s="537"/>
      <c r="AI38" s="537"/>
      <c r="AJ38" s="888"/>
      <c r="AK38" s="888"/>
      <c r="AL38" s="888"/>
      <c r="AM38" s="888"/>
      <c r="AN38" s="18"/>
      <c r="AO38" s="14"/>
      <c r="AP38" s="14"/>
      <c r="AQ38" s="14"/>
      <c r="AR38" s="14"/>
      <c r="AS38" s="14"/>
      <c r="AT38" s="14"/>
      <c r="AU38" s="14"/>
      <c r="AY38" s="79"/>
      <c r="AZ38" s="79"/>
    </row>
    <row r="39" spans="1:72" s="3" customFormat="1" ht="15.6" customHeight="1" x14ac:dyDescent="0.15">
      <c r="A39" s="49"/>
      <c r="B39" s="632" t="s">
        <v>202</v>
      </c>
      <c r="C39" s="633"/>
      <c r="D39" s="624"/>
      <c r="E39" s="625"/>
      <c r="F39" s="625"/>
      <c r="G39" s="626"/>
      <c r="H39" s="627"/>
      <c r="I39" s="57" t="s">
        <v>22</v>
      </c>
      <c r="J39" s="58"/>
      <c r="K39" s="58"/>
      <c r="L39" s="622">
        <f>1+1+1</f>
        <v>3</v>
      </c>
      <c r="M39" s="623"/>
      <c r="N39" s="57" t="s">
        <v>62</v>
      </c>
      <c r="O39" s="58"/>
      <c r="P39" s="58"/>
      <c r="Q39" s="622">
        <f>1+2+0+0+3+3+1</f>
        <v>10</v>
      </c>
      <c r="R39" s="623"/>
      <c r="S39" s="343" t="s">
        <v>23</v>
      </c>
      <c r="T39" s="344"/>
      <c r="U39" s="344"/>
      <c r="V39" s="344"/>
      <c r="W39" s="622">
        <f>2+5+5+2+0+1+2</f>
        <v>17</v>
      </c>
      <c r="X39" s="623"/>
      <c r="Y39" s="57" t="s">
        <v>97</v>
      </c>
      <c r="Z39" s="344"/>
      <c r="AA39" s="344"/>
      <c r="AB39" s="344"/>
      <c r="AC39" s="622">
        <f>0+0+0+0+0+0+0</f>
        <v>0</v>
      </c>
      <c r="AD39" s="623"/>
      <c r="AE39" s="356"/>
      <c r="AF39" s="357"/>
      <c r="AG39" s="5"/>
      <c r="AH39" s="16"/>
      <c r="AI39" s="16"/>
      <c r="AJ39" s="643"/>
      <c r="AK39" s="643"/>
      <c r="AL39" s="643"/>
      <c r="AM39" s="643"/>
      <c r="AN39" s="14"/>
      <c r="AO39" s="14"/>
      <c r="AP39" s="14"/>
      <c r="AQ39" s="14"/>
      <c r="AR39" s="14"/>
      <c r="AS39" s="14"/>
      <c r="AT39" s="14"/>
      <c r="AU39" s="14"/>
      <c r="AY39" s="79"/>
      <c r="AZ39" s="79"/>
    </row>
    <row r="40" spans="1:72" s="3" customFormat="1" ht="15.6" customHeight="1" x14ac:dyDescent="0.15">
      <c r="A40" s="49"/>
      <c r="B40" s="634"/>
      <c r="C40" s="635"/>
      <c r="D40" s="620"/>
      <c r="E40" s="621"/>
      <c r="F40" s="621"/>
      <c r="G40" s="621"/>
      <c r="H40" s="59"/>
      <c r="I40" s="60" t="s">
        <v>0</v>
      </c>
      <c r="J40" s="61"/>
      <c r="K40" s="61"/>
      <c r="L40" s="616">
        <f>1+0</f>
        <v>1</v>
      </c>
      <c r="M40" s="617"/>
      <c r="N40" s="60" t="s">
        <v>3</v>
      </c>
      <c r="O40" s="61"/>
      <c r="P40" s="61"/>
      <c r="Q40" s="616">
        <f>0+0+0+0+0+0+3</f>
        <v>3</v>
      </c>
      <c r="R40" s="617"/>
      <c r="S40" s="341" t="s">
        <v>90</v>
      </c>
      <c r="T40" s="342"/>
      <c r="U40" s="342"/>
      <c r="V40" s="342"/>
      <c r="W40" s="616">
        <f>0+0+0+0+0+0+0</f>
        <v>0</v>
      </c>
      <c r="X40" s="617"/>
      <c r="Y40" s="60" t="s">
        <v>4</v>
      </c>
      <c r="Z40" s="61"/>
      <c r="AA40" s="61"/>
      <c r="AB40" s="61"/>
      <c r="AC40" s="616">
        <f>12+7+12+10+9+10+7</f>
        <v>67</v>
      </c>
      <c r="AD40" s="617"/>
      <c r="AE40" s="354"/>
      <c r="AF40" s="355"/>
      <c r="AG40" s="6"/>
      <c r="AH40" s="16"/>
      <c r="AI40" s="16"/>
      <c r="AJ40" s="16"/>
      <c r="AK40" s="16"/>
      <c r="AL40" s="16"/>
      <c r="AM40" s="16"/>
      <c r="AN40" s="14"/>
      <c r="AO40" s="14"/>
      <c r="AP40" s="14"/>
      <c r="AQ40" s="14"/>
      <c r="AR40" s="14"/>
      <c r="AS40" s="14"/>
      <c r="AT40" s="14"/>
      <c r="AU40" s="14"/>
      <c r="AY40" s="79"/>
      <c r="AZ40" s="79"/>
    </row>
    <row r="41" spans="1:72" s="3" customFormat="1" ht="15.6" customHeight="1" x14ac:dyDescent="0.15">
      <c r="A41" s="49"/>
      <c r="B41" s="634"/>
      <c r="C41" s="635"/>
      <c r="D41" s="620"/>
      <c r="E41" s="621"/>
      <c r="F41" s="621"/>
      <c r="G41" s="621"/>
      <c r="H41" s="59"/>
      <c r="I41" s="60" t="s">
        <v>61</v>
      </c>
      <c r="J41" s="61"/>
      <c r="K41" s="61"/>
      <c r="L41" s="616">
        <f>0+0</f>
        <v>0</v>
      </c>
      <c r="M41" s="617"/>
      <c r="N41" s="60" t="s">
        <v>0</v>
      </c>
      <c r="O41" s="61"/>
      <c r="P41" s="61"/>
      <c r="Q41" s="616">
        <f>0+0+0+0+0+0+0</f>
        <v>0</v>
      </c>
      <c r="R41" s="617"/>
      <c r="S41" s="341" t="s">
        <v>91</v>
      </c>
      <c r="T41" s="342"/>
      <c r="U41" s="342"/>
      <c r="V41" s="342"/>
      <c r="W41" s="616">
        <f>1+1+0+1+2+4+0</f>
        <v>9</v>
      </c>
      <c r="X41" s="617"/>
      <c r="Y41" s="60" t="s">
        <v>2</v>
      </c>
      <c r="Z41" s="62"/>
      <c r="AA41" s="62"/>
      <c r="AB41" s="62"/>
      <c r="AC41" s="616">
        <f>1+2+1+0+0+2+1</f>
        <v>7</v>
      </c>
      <c r="AD41" s="617"/>
      <c r="AE41" s="354"/>
      <c r="AF41" s="355"/>
      <c r="AG41" s="6"/>
      <c r="AH41" s="16"/>
      <c r="AI41" s="16"/>
      <c r="AJ41" s="643"/>
      <c r="AK41" s="643"/>
      <c r="AL41" s="643"/>
      <c r="AM41" s="643"/>
      <c r="AN41" s="14"/>
      <c r="AO41" s="14"/>
      <c r="AP41" s="14"/>
      <c r="AQ41" s="14"/>
      <c r="AR41" s="14"/>
      <c r="AS41" s="14"/>
      <c r="AT41" s="14"/>
      <c r="AU41" s="14"/>
      <c r="AY41" s="79"/>
      <c r="AZ41" s="79"/>
    </row>
    <row r="42" spans="1:72" s="3" customFormat="1" ht="15.6" customHeight="1" x14ac:dyDescent="0.15">
      <c r="A42" s="49"/>
      <c r="B42" s="634"/>
      <c r="C42" s="635"/>
      <c r="D42" s="620"/>
      <c r="E42" s="621"/>
      <c r="F42" s="621"/>
      <c r="G42" s="621"/>
      <c r="H42" s="59"/>
      <c r="I42" s="60" t="s">
        <v>60</v>
      </c>
      <c r="J42" s="61"/>
      <c r="K42" s="61"/>
      <c r="L42" s="616">
        <f>1+3+5</f>
        <v>9</v>
      </c>
      <c r="M42" s="617"/>
      <c r="N42" s="60" t="s">
        <v>4</v>
      </c>
      <c r="O42" s="61"/>
      <c r="P42" s="61"/>
      <c r="Q42" s="616">
        <f>0+0+0+0+0+0+0</f>
        <v>0</v>
      </c>
      <c r="R42" s="617"/>
      <c r="S42" s="341" t="s">
        <v>92</v>
      </c>
      <c r="T42" s="342"/>
      <c r="U42" s="342"/>
      <c r="V42" s="342"/>
      <c r="W42" s="616">
        <f>6+2+1+3+1+1+2</f>
        <v>16</v>
      </c>
      <c r="X42" s="617"/>
      <c r="Y42" s="60" t="s">
        <v>98</v>
      </c>
      <c r="Z42" s="61"/>
      <c r="AA42" s="61"/>
      <c r="AB42" s="61"/>
      <c r="AC42" s="616">
        <f>1+3+4+2+3+5+2</f>
        <v>20</v>
      </c>
      <c r="AD42" s="617"/>
      <c r="AE42" s="354"/>
      <c r="AF42" s="355"/>
      <c r="AG42" s="6"/>
      <c r="AH42" s="16"/>
      <c r="AI42" s="541"/>
      <c r="AJ42" s="16"/>
      <c r="AK42" s="16"/>
      <c r="AL42" s="16"/>
      <c r="AM42" s="16"/>
      <c r="AN42" s="14"/>
      <c r="AO42" s="14"/>
      <c r="AP42" s="14"/>
      <c r="AQ42" s="14"/>
      <c r="AR42" s="14"/>
      <c r="AS42" s="14"/>
      <c r="AT42" s="14"/>
      <c r="AU42" s="14"/>
      <c r="AY42" s="79"/>
      <c r="AZ42" s="79"/>
    </row>
    <row r="43" spans="1:72" s="3" customFormat="1" ht="15.6" customHeight="1" x14ac:dyDescent="0.15">
      <c r="A43" s="49"/>
      <c r="B43" s="634"/>
      <c r="C43" s="635"/>
      <c r="D43" s="620"/>
      <c r="E43" s="621"/>
      <c r="F43" s="621"/>
      <c r="G43" s="621"/>
      <c r="H43" s="59"/>
      <c r="I43" s="60"/>
      <c r="J43" s="61"/>
      <c r="K43" s="61"/>
      <c r="L43" s="61"/>
      <c r="M43" s="63"/>
      <c r="N43" s="60" t="s">
        <v>60</v>
      </c>
      <c r="O43" s="61"/>
      <c r="P43" s="61"/>
      <c r="Q43" s="616">
        <f>0+2+1+0+0+0+1</f>
        <v>4</v>
      </c>
      <c r="R43" s="617"/>
      <c r="S43" s="341" t="s">
        <v>94</v>
      </c>
      <c r="T43" s="342"/>
      <c r="U43" s="342"/>
      <c r="V43" s="342"/>
      <c r="W43" s="616">
        <f>0+0+0+0+1+1+0</f>
        <v>2</v>
      </c>
      <c r="X43" s="617"/>
      <c r="Y43" s="60" t="s">
        <v>99</v>
      </c>
      <c r="Z43" s="61"/>
      <c r="AA43" s="61"/>
      <c r="AB43" s="61"/>
      <c r="AC43" s="618">
        <f>0+0+0+0+0+2+1</f>
        <v>3</v>
      </c>
      <c r="AD43" s="619"/>
      <c r="AE43" s="354"/>
      <c r="AF43" s="355"/>
      <c r="AG43" s="6"/>
      <c r="AH43" s="16"/>
      <c r="AI43" s="541"/>
      <c r="AJ43" s="16"/>
      <c r="AK43" s="16"/>
      <c r="AL43" s="16"/>
      <c r="AM43" s="16"/>
      <c r="AN43" s="14"/>
      <c r="AO43" s="14"/>
      <c r="AP43" s="14"/>
      <c r="AQ43" s="14"/>
      <c r="AR43" s="14"/>
      <c r="AS43" s="14"/>
      <c r="AT43" s="14"/>
      <c r="AU43" s="14"/>
      <c r="AY43" s="79"/>
      <c r="AZ43" s="79"/>
    </row>
    <row r="44" spans="1:72" s="3" customFormat="1" ht="15.6" customHeight="1" x14ac:dyDescent="0.15">
      <c r="A44" s="49"/>
      <c r="B44" s="634"/>
      <c r="C44" s="635"/>
      <c r="D44" s="341"/>
      <c r="E44" s="342"/>
      <c r="F44" s="342"/>
      <c r="G44" s="342"/>
      <c r="H44" s="59"/>
      <c r="I44" s="60"/>
      <c r="J44" s="61"/>
      <c r="K44" s="61"/>
      <c r="L44" s="61"/>
      <c r="M44" s="63"/>
      <c r="N44" s="60"/>
      <c r="O44" s="61"/>
      <c r="P44" s="61"/>
      <c r="Q44" s="336"/>
      <c r="R44" s="337"/>
      <c r="S44" s="341" t="s">
        <v>93</v>
      </c>
      <c r="T44" s="342"/>
      <c r="U44" s="342"/>
      <c r="V44" s="342"/>
      <c r="W44" s="616">
        <f>0+0+0+0+0+0+0</f>
        <v>0</v>
      </c>
      <c r="X44" s="617"/>
      <c r="Y44" s="60" t="s">
        <v>100</v>
      </c>
      <c r="Z44" s="61"/>
      <c r="AA44" s="61"/>
      <c r="AB44" s="61"/>
      <c r="AC44" s="618">
        <f>0+1+0+3+0+0+1</f>
        <v>5</v>
      </c>
      <c r="AD44" s="619"/>
      <c r="AE44" s="354"/>
      <c r="AF44" s="355"/>
      <c r="AG44" s="6"/>
      <c r="AH44" s="16"/>
      <c r="AI44" s="541"/>
      <c r="AJ44" s="16"/>
      <c r="AK44" s="16"/>
      <c r="AL44" s="16"/>
      <c r="AM44" s="16"/>
      <c r="AN44" s="14"/>
      <c r="AO44" s="14"/>
      <c r="AP44" s="14"/>
      <c r="AQ44" s="14"/>
      <c r="AR44" s="14"/>
      <c r="AS44" s="14"/>
      <c r="AT44" s="14"/>
      <c r="AU44" s="14"/>
      <c r="AY44" s="79"/>
      <c r="AZ44" s="79"/>
    </row>
    <row r="45" spans="1:72" s="3" customFormat="1" ht="15.6" customHeight="1" x14ac:dyDescent="0.15">
      <c r="A45" s="49"/>
      <c r="B45" s="634"/>
      <c r="C45" s="635"/>
      <c r="D45" s="341"/>
      <c r="E45" s="342"/>
      <c r="F45" s="342"/>
      <c r="G45" s="342"/>
      <c r="H45" s="59"/>
      <c r="I45" s="60"/>
      <c r="J45" s="61"/>
      <c r="K45" s="61"/>
      <c r="L45" s="61"/>
      <c r="M45" s="63"/>
      <c r="N45" s="60"/>
      <c r="O45" s="61"/>
      <c r="P45" s="61"/>
      <c r="Q45" s="336"/>
      <c r="R45" s="337"/>
      <c r="S45" s="341" t="s">
        <v>95</v>
      </c>
      <c r="T45" s="342"/>
      <c r="U45" s="342"/>
      <c r="V45" s="342"/>
      <c r="W45" s="616">
        <f>0+3+4+3+0+0+0</f>
        <v>10</v>
      </c>
      <c r="X45" s="617"/>
      <c r="Y45" s="60" t="s">
        <v>101</v>
      </c>
      <c r="Z45" s="61"/>
      <c r="AA45" s="61"/>
      <c r="AB45" s="61"/>
      <c r="AC45" s="618">
        <f>0+0+0+0+1+0+0</f>
        <v>1</v>
      </c>
      <c r="AD45" s="619"/>
      <c r="AE45" s="354"/>
      <c r="AF45" s="355"/>
      <c r="AG45" s="6"/>
      <c r="AH45" s="16"/>
      <c r="AI45" s="541"/>
      <c r="AJ45" s="16"/>
      <c r="AK45" s="16"/>
      <c r="AL45" s="16"/>
      <c r="AM45" s="16"/>
      <c r="AN45" s="14"/>
      <c r="AO45" s="14"/>
      <c r="AP45" s="14"/>
      <c r="AQ45" s="14"/>
      <c r="AR45" s="14"/>
      <c r="AS45" s="14"/>
      <c r="AT45" s="14"/>
      <c r="AU45" s="14"/>
      <c r="AY45" s="79"/>
      <c r="AZ45" s="79"/>
    </row>
    <row r="46" spans="1:72" s="3" customFormat="1" ht="15.6" customHeight="1" x14ac:dyDescent="0.15">
      <c r="A46" s="49"/>
      <c r="B46" s="634"/>
      <c r="C46" s="635"/>
      <c r="D46" s="341"/>
      <c r="E46" s="342"/>
      <c r="F46" s="342"/>
      <c r="G46" s="342"/>
      <c r="H46" s="59"/>
      <c r="I46" s="60"/>
      <c r="J46" s="61"/>
      <c r="K46" s="61"/>
      <c r="L46" s="61"/>
      <c r="M46" s="63"/>
      <c r="N46" s="60"/>
      <c r="O46" s="61"/>
      <c r="P46" s="61"/>
      <c r="Q46" s="336"/>
      <c r="R46" s="337"/>
      <c r="S46" s="341" t="s">
        <v>96</v>
      </c>
      <c r="T46" s="342"/>
      <c r="U46" s="342"/>
      <c r="V46" s="342"/>
      <c r="W46" s="616">
        <f>0+0+1+0+0+0+0</f>
        <v>1</v>
      </c>
      <c r="X46" s="617"/>
      <c r="Y46" s="60" t="s">
        <v>103</v>
      </c>
      <c r="Z46" s="61"/>
      <c r="AA46" s="61"/>
      <c r="AB46" s="61"/>
      <c r="AC46" s="618">
        <f>1+5+1+1+3+2+0</f>
        <v>13</v>
      </c>
      <c r="AD46" s="619"/>
      <c r="AE46" s="354"/>
      <c r="AF46" s="355"/>
      <c r="AG46" s="6"/>
      <c r="AH46" s="16"/>
      <c r="AI46" s="541"/>
      <c r="AJ46" s="16"/>
      <c r="AK46" s="16"/>
      <c r="AL46" s="16"/>
      <c r="AM46" s="16"/>
      <c r="AN46" s="14"/>
      <c r="AO46" s="14"/>
      <c r="AP46" s="14"/>
      <c r="AQ46" s="14"/>
      <c r="AR46" s="14"/>
      <c r="AS46" s="14"/>
      <c r="AT46" s="14"/>
      <c r="AU46" s="14"/>
      <c r="AY46" s="79"/>
      <c r="AZ46" s="79"/>
    </row>
    <row r="47" spans="1:72" s="3" customFormat="1" ht="15.6" customHeight="1" x14ac:dyDescent="0.15">
      <c r="A47" s="49"/>
      <c r="B47" s="634"/>
      <c r="C47" s="635"/>
      <c r="D47" s="341"/>
      <c r="E47" s="342"/>
      <c r="F47" s="342"/>
      <c r="G47" s="342"/>
      <c r="H47" s="59"/>
      <c r="I47" s="60"/>
      <c r="J47" s="61"/>
      <c r="K47" s="61"/>
      <c r="L47" s="61"/>
      <c r="M47" s="63"/>
      <c r="N47" s="60"/>
      <c r="O47" s="61"/>
      <c r="P47" s="61"/>
      <c r="Q47" s="336"/>
      <c r="R47" s="337"/>
      <c r="S47" s="341" t="s">
        <v>80</v>
      </c>
      <c r="T47" s="342"/>
      <c r="U47" s="342"/>
      <c r="V47" s="342"/>
      <c r="W47" s="616">
        <f>12+14+8+14+16+16+14</f>
        <v>94</v>
      </c>
      <c r="X47" s="617"/>
      <c r="Y47" s="60" t="s">
        <v>104</v>
      </c>
      <c r="Z47" s="61"/>
      <c r="AA47" s="61"/>
      <c r="AB47" s="61"/>
      <c r="AC47" s="618">
        <f>0+0+0+1+0+1+0</f>
        <v>2</v>
      </c>
      <c r="AD47" s="619"/>
      <c r="AE47" s="354"/>
      <c r="AF47" s="355"/>
      <c r="AG47" s="6"/>
      <c r="AH47" s="16"/>
      <c r="AI47" s="16"/>
      <c r="AJ47" s="16"/>
      <c r="AK47" s="16"/>
      <c r="AL47" s="16"/>
      <c r="AM47" s="16"/>
      <c r="AN47" s="14"/>
      <c r="AO47" s="14"/>
      <c r="AP47" s="14"/>
      <c r="AQ47" s="14"/>
      <c r="AR47" s="14"/>
      <c r="AS47" s="14"/>
      <c r="AT47" s="14"/>
      <c r="AU47" s="14"/>
      <c r="AY47" s="79"/>
      <c r="AZ47" s="79"/>
    </row>
    <row r="48" spans="1:72" s="3" customFormat="1" ht="15.6" customHeight="1" x14ac:dyDescent="0.15">
      <c r="A48" s="49"/>
      <c r="B48" s="634"/>
      <c r="C48" s="635"/>
      <c r="D48" s="341"/>
      <c r="E48" s="342"/>
      <c r="F48" s="342"/>
      <c r="G48" s="342"/>
      <c r="H48" s="59"/>
      <c r="I48" s="60"/>
      <c r="J48" s="61"/>
      <c r="K48" s="61"/>
      <c r="L48" s="61"/>
      <c r="M48" s="63"/>
      <c r="N48" s="60"/>
      <c r="O48" s="61"/>
      <c r="P48" s="61"/>
      <c r="Q48" s="336"/>
      <c r="R48" s="337"/>
      <c r="S48" s="341" t="s">
        <v>102</v>
      </c>
      <c r="T48" s="342"/>
      <c r="U48" s="342"/>
      <c r="V48" s="342"/>
      <c r="W48" s="616">
        <f>0+0+0+0+1+1+0</f>
        <v>2</v>
      </c>
      <c r="X48" s="617"/>
      <c r="Y48" s="60" t="s">
        <v>105</v>
      </c>
      <c r="Z48" s="61"/>
      <c r="AA48" s="61"/>
      <c r="AB48" s="61"/>
      <c r="AC48" s="618">
        <f>2+4+7+1+4+10+4</f>
        <v>32</v>
      </c>
      <c r="AD48" s="619"/>
      <c r="AE48" s="354"/>
      <c r="AF48" s="355"/>
      <c r="AG48" s="6"/>
      <c r="AH48" s="16"/>
      <c r="AI48" s="16"/>
      <c r="AJ48" s="16"/>
      <c r="AK48" s="16"/>
      <c r="AL48" s="16"/>
      <c r="AM48" s="16"/>
      <c r="AN48" s="14"/>
      <c r="AO48" s="14"/>
      <c r="AP48" s="14"/>
      <c r="AQ48" s="14"/>
      <c r="AR48" s="14"/>
      <c r="AS48" s="14"/>
      <c r="AT48" s="14"/>
      <c r="AU48" s="14"/>
      <c r="AY48" s="79"/>
      <c r="AZ48" s="79"/>
    </row>
    <row r="49" spans="1:52" s="3" customFormat="1" ht="15.6" customHeight="1" x14ac:dyDescent="0.15">
      <c r="A49" s="49"/>
      <c r="B49" s="636"/>
      <c r="C49" s="637"/>
      <c r="D49" s="628"/>
      <c r="E49" s="629"/>
      <c r="F49" s="629"/>
      <c r="G49" s="629"/>
      <c r="H49" s="64"/>
      <c r="I49" s="65"/>
      <c r="J49" s="66"/>
      <c r="K49" s="66"/>
      <c r="L49" s="66"/>
      <c r="M49" s="67"/>
      <c r="N49" s="65"/>
      <c r="O49" s="66"/>
      <c r="P49" s="66"/>
      <c r="Q49" s="66"/>
      <c r="R49" s="67"/>
      <c r="S49" s="338" t="s">
        <v>24</v>
      </c>
      <c r="T49" s="339"/>
      <c r="U49" s="339"/>
      <c r="V49" s="339"/>
      <c r="W49" s="630">
        <f>1+3+1+1+2+2+2</f>
        <v>12</v>
      </c>
      <c r="X49" s="631"/>
      <c r="Y49" s="65" t="s">
        <v>24</v>
      </c>
      <c r="Z49" s="68"/>
      <c r="AA49" s="66"/>
      <c r="AB49" s="66"/>
      <c r="AC49" s="630">
        <f>5+0+2+8+1+4+1</f>
        <v>21</v>
      </c>
      <c r="AD49" s="631"/>
      <c r="AE49" s="352"/>
      <c r="AF49" s="353"/>
      <c r="AG49" s="8"/>
      <c r="AH49" s="16"/>
      <c r="AI49" s="16"/>
      <c r="AJ49" s="16"/>
      <c r="AK49" s="16"/>
      <c r="AL49" s="16"/>
      <c r="AM49" s="16"/>
      <c r="AN49" s="14"/>
      <c r="AO49" s="14"/>
      <c r="AP49" s="14"/>
      <c r="AQ49" s="14"/>
      <c r="AR49" s="14"/>
      <c r="AS49" s="14"/>
      <c r="AT49" s="14"/>
      <c r="AU49" s="14"/>
      <c r="AY49" s="79"/>
      <c r="AZ49" s="79"/>
    </row>
    <row r="50" spans="1:52" s="3" customFormat="1" ht="15.6" customHeight="1" x14ac:dyDescent="0.15">
      <c r="A50" s="49"/>
      <c r="B50" s="362"/>
      <c r="C50" s="362"/>
      <c r="D50" s="355"/>
      <c r="E50" s="355"/>
      <c r="F50" s="355"/>
      <c r="G50" s="355"/>
      <c r="H50" s="355"/>
      <c r="I50" s="355"/>
      <c r="J50" s="355"/>
      <c r="K50" s="355"/>
      <c r="L50" s="355"/>
      <c r="M50" s="355"/>
      <c r="N50" s="355"/>
      <c r="O50" s="355"/>
      <c r="P50" s="365"/>
      <c r="Q50" s="365"/>
      <c r="R50" s="362"/>
      <c r="S50" s="355"/>
      <c r="T50" s="355"/>
      <c r="U50" s="355"/>
      <c r="V50" s="355"/>
      <c r="W50" s="363"/>
      <c r="X50" s="363"/>
      <c r="Y50" s="365"/>
      <c r="Z50" s="37"/>
      <c r="AA50" s="365"/>
      <c r="AB50" s="365"/>
      <c r="AC50" s="363"/>
      <c r="AD50" s="363"/>
      <c r="AE50" s="355"/>
      <c r="AF50" s="355"/>
      <c r="AG50" s="355"/>
      <c r="AH50" s="16"/>
      <c r="AI50" s="16"/>
      <c r="AJ50" s="16"/>
      <c r="AK50" s="16"/>
      <c r="AL50" s="16"/>
      <c r="AM50" s="16"/>
      <c r="AN50" s="14"/>
      <c r="AO50" s="14"/>
      <c r="AP50" s="14"/>
      <c r="AQ50" s="14"/>
      <c r="AR50" s="14"/>
      <c r="AS50" s="14"/>
      <c r="AT50" s="14"/>
      <c r="AU50" s="14"/>
      <c r="AY50" s="79"/>
      <c r="AZ50" s="79"/>
    </row>
    <row r="51" spans="1:52" s="3" customFormat="1" ht="15.6" customHeight="1" x14ac:dyDescent="0.15">
      <c r="A51" s="49"/>
      <c r="B51" s="362"/>
      <c r="C51" s="362"/>
      <c r="D51" s="355"/>
      <c r="E51" s="355"/>
      <c r="F51" s="355"/>
      <c r="G51" s="355"/>
      <c r="H51" s="355"/>
      <c r="I51" s="355"/>
      <c r="J51" s="355"/>
      <c r="K51" s="355"/>
      <c r="L51" s="355"/>
      <c r="M51" s="355"/>
      <c r="N51" s="355"/>
      <c r="O51" s="355"/>
      <c r="P51" s="365"/>
      <c r="Q51" s="365"/>
      <c r="R51" s="362"/>
      <c r="S51" s="355"/>
      <c r="T51" s="355"/>
      <c r="U51" s="355"/>
      <c r="V51" s="355"/>
      <c r="W51" s="363"/>
      <c r="X51" s="363"/>
      <c r="Y51" s="365"/>
      <c r="Z51" s="37"/>
      <c r="AA51" s="365"/>
      <c r="AB51" s="365"/>
      <c r="AC51" s="363"/>
      <c r="AD51" s="363"/>
      <c r="AE51" s="355"/>
      <c r="AF51" s="355"/>
      <c r="AG51" s="355"/>
      <c r="AH51" s="16"/>
      <c r="AI51" s="16"/>
      <c r="AJ51" s="16"/>
      <c r="AK51" s="16"/>
      <c r="AL51" s="16"/>
      <c r="AM51" s="16"/>
      <c r="AN51" s="14"/>
      <c r="AO51" s="14"/>
      <c r="AP51" s="14"/>
      <c r="AQ51" s="14"/>
      <c r="AR51" s="14"/>
      <c r="AS51" s="14"/>
      <c r="AT51" s="14"/>
      <c r="AU51" s="14"/>
      <c r="AY51" s="79"/>
      <c r="AZ51" s="79"/>
    </row>
    <row r="52" spans="1:52" s="3" customFormat="1" ht="15.6" customHeight="1" x14ac:dyDescent="0.15">
      <c r="A52" s="49"/>
      <c r="B52" s="362"/>
      <c r="C52" s="362"/>
      <c r="D52" s="355"/>
      <c r="E52" s="355"/>
      <c r="F52" s="355"/>
      <c r="G52" s="355"/>
      <c r="H52" s="355"/>
      <c r="I52" s="355"/>
      <c r="J52" s="355"/>
      <c r="K52" s="355"/>
      <c r="L52" s="355"/>
      <c r="M52" s="355"/>
      <c r="N52" s="355"/>
      <c r="O52" s="355"/>
      <c r="P52" s="365"/>
      <c r="Q52" s="365"/>
      <c r="R52" s="362"/>
      <c r="S52" s="355"/>
      <c r="T52" s="355"/>
      <c r="U52" s="355"/>
      <c r="V52" s="355"/>
      <c r="W52" s="363"/>
      <c r="X52" s="363"/>
      <c r="Y52" s="365"/>
      <c r="Z52" s="37"/>
      <c r="AA52" s="365"/>
      <c r="AB52" s="365"/>
      <c r="AC52" s="363"/>
      <c r="AD52" s="363"/>
      <c r="AE52" s="355"/>
      <c r="AF52" s="355"/>
      <c r="AG52" s="355"/>
      <c r="AH52" s="16"/>
      <c r="AI52" s="16"/>
      <c r="AJ52" s="16"/>
      <c r="AK52" s="16"/>
      <c r="AL52" s="16"/>
      <c r="AM52" s="16"/>
      <c r="AN52" s="14"/>
      <c r="AO52" s="14"/>
      <c r="AP52" s="14"/>
      <c r="AQ52" s="14"/>
      <c r="AR52" s="14"/>
      <c r="AS52" s="14"/>
      <c r="AT52" s="14"/>
      <c r="AU52" s="14"/>
      <c r="AY52" s="79"/>
      <c r="AZ52" s="79"/>
    </row>
    <row r="53" spans="1:52" s="3" customFormat="1" ht="15.6" customHeight="1" x14ac:dyDescent="0.15">
      <c r="A53" s="49"/>
      <c r="B53" s="362"/>
      <c r="C53" s="362"/>
      <c r="D53" s="355"/>
      <c r="E53" s="355"/>
      <c r="F53" s="355"/>
      <c r="G53" s="355"/>
      <c r="H53" s="355"/>
      <c r="I53" s="355"/>
      <c r="J53" s="355"/>
      <c r="K53" s="355"/>
      <c r="L53" s="355"/>
      <c r="M53" s="355"/>
      <c r="N53" s="355"/>
      <c r="O53" s="355"/>
      <c r="P53" s="365"/>
      <c r="Q53" s="365"/>
      <c r="R53" s="362"/>
      <c r="S53" s="355"/>
      <c r="T53" s="355"/>
      <c r="U53" s="355"/>
      <c r="V53" s="355"/>
      <c r="W53" s="363"/>
      <c r="X53" s="363"/>
      <c r="Y53" s="365"/>
      <c r="Z53" s="37"/>
      <c r="AA53" s="365"/>
      <c r="AB53" s="365"/>
      <c r="AC53" s="363"/>
      <c r="AD53" s="363"/>
      <c r="AE53" s="355"/>
      <c r="AF53" s="355"/>
      <c r="AG53" s="355"/>
      <c r="AH53" s="16"/>
      <c r="AI53" s="16"/>
      <c r="AJ53" s="16"/>
      <c r="AK53" s="16"/>
      <c r="AL53" s="16"/>
      <c r="AM53" s="16"/>
      <c r="AN53" s="14"/>
      <c r="AO53" s="14"/>
      <c r="AP53" s="14"/>
      <c r="AQ53" s="14"/>
      <c r="AR53" s="14"/>
      <c r="AS53" s="14"/>
      <c r="AT53" s="14"/>
      <c r="AU53" s="14"/>
      <c r="AY53" s="79"/>
      <c r="AZ53" s="79"/>
    </row>
    <row r="54" spans="1:52" s="3" customFormat="1" ht="15.6" customHeight="1" x14ac:dyDescent="0.15">
      <c r="A54" s="49"/>
      <c r="B54" s="362"/>
      <c r="C54" s="362"/>
      <c r="D54" s="355"/>
      <c r="E54" s="355"/>
      <c r="F54" s="355"/>
      <c r="G54" s="355"/>
      <c r="H54" s="355"/>
      <c r="I54" s="355"/>
      <c r="J54" s="355"/>
      <c r="K54" s="355"/>
      <c r="L54" s="355"/>
      <c r="M54" s="355"/>
      <c r="N54" s="355"/>
      <c r="O54" s="355"/>
      <c r="P54" s="365"/>
      <c r="Q54" s="365"/>
      <c r="R54" s="362"/>
      <c r="S54" s="355"/>
      <c r="T54" s="355"/>
      <c r="U54" s="355"/>
      <c r="V54" s="355"/>
      <c r="W54" s="363"/>
      <c r="X54" s="363"/>
      <c r="Y54" s="365"/>
      <c r="Z54" s="37"/>
      <c r="AA54" s="365"/>
      <c r="AB54" s="365"/>
      <c r="AC54" s="363"/>
      <c r="AD54" s="363"/>
      <c r="AE54" s="355"/>
      <c r="AF54" s="355"/>
      <c r="AG54" s="355"/>
      <c r="AH54" s="16"/>
      <c r="AI54" s="16"/>
      <c r="AJ54" s="16"/>
      <c r="AK54" s="16"/>
      <c r="AL54" s="16"/>
      <c r="AM54" s="16"/>
      <c r="AN54" s="14"/>
      <c r="AO54" s="14"/>
      <c r="AP54" s="14"/>
      <c r="AQ54" s="14"/>
      <c r="AR54" s="14"/>
      <c r="AS54" s="14"/>
      <c r="AT54" s="14"/>
      <c r="AU54" s="14"/>
      <c r="AY54" s="79"/>
      <c r="AZ54" s="79"/>
    </row>
    <row r="55" spans="1:52" s="3" customFormat="1" ht="15.6" customHeight="1" x14ac:dyDescent="0.15">
      <c r="A55" s="50" t="s">
        <v>125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4"/>
      <c r="AO55" s="14"/>
      <c r="AP55" s="14"/>
      <c r="AQ55" s="14"/>
      <c r="AR55" s="14"/>
      <c r="AS55" s="14"/>
      <c r="AT55" s="14"/>
      <c r="AU55" s="14"/>
      <c r="AY55" s="79"/>
      <c r="AZ55" s="79"/>
    </row>
    <row r="56" spans="1:52" s="3" customFormat="1" ht="15.6" customHeight="1" x14ac:dyDescent="0.15">
      <c r="A56" s="54"/>
      <c r="B56" s="644" t="s">
        <v>25</v>
      </c>
      <c r="C56" s="645"/>
      <c r="D56" s="645"/>
      <c r="E56" s="646"/>
      <c r="F56" s="647" t="s">
        <v>26</v>
      </c>
      <c r="G56" s="647"/>
      <c r="H56" s="647"/>
      <c r="I56" s="647"/>
      <c r="J56" s="647" t="s">
        <v>83</v>
      </c>
      <c r="K56" s="647"/>
      <c r="L56" s="647"/>
      <c r="M56" s="647"/>
      <c r="N56" s="647" t="s">
        <v>27</v>
      </c>
      <c r="O56" s="647"/>
      <c r="P56" s="647"/>
      <c r="Q56" s="647"/>
      <c r="R56" s="647" t="s">
        <v>84</v>
      </c>
      <c r="S56" s="647"/>
      <c r="T56" s="647"/>
      <c r="U56" s="647"/>
      <c r="V56" s="647" t="s">
        <v>85</v>
      </c>
      <c r="W56" s="647"/>
      <c r="X56" s="647"/>
      <c r="Y56" s="647"/>
      <c r="Z56" s="647" t="s">
        <v>28</v>
      </c>
      <c r="AA56" s="647"/>
      <c r="AB56" s="647"/>
      <c r="AC56" s="647"/>
      <c r="AD56" s="644" t="s">
        <v>29</v>
      </c>
      <c r="AE56" s="645"/>
      <c r="AF56" s="645"/>
      <c r="AG56" s="646"/>
      <c r="AH56" s="16"/>
      <c r="AI56" s="16"/>
      <c r="AJ56" s="16"/>
      <c r="AK56" s="16"/>
      <c r="AL56" s="16"/>
      <c r="AM56" s="16"/>
      <c r="AN56" s="14"/>
      <c r="AO56" s="14"/>
      <c r="AP56" s="14"/>
      <c r="AQ56" s="14"/>
      <c r="AR56" s="14"/>
      <c r="AS56" s="14"/>
      <c r="AT56" s="14"/>
      <c r="AU56" s="14"/>
      <c r="AY56" s="79"/>
      <c r="AZ56" s="79"/>
    </row>
    <row r="57" spans="1:52" s="14" customFormat="1" ht="15.6" customHeight="1" x14ac:dyDescent="0.15">
      <c r="B57" s="701" t="s">
        <v>207</v>
      </c>
      <c r="C57" s="702"/>
      <c r="D57" s="702"/>
      <c r="E57" s="703"/>
      <c r="F57" s="829" t="s">
        <v>9</v>
      </c>
      <c r="G57" s="830"/>
      <c r="H57" s="830"/>
      <c r="I57" s="831"/>
      <c r="J57" s="613">
        <f>1282+3</f>
        <v>1285</v>
      </c>
      <c r="K57" s="614"/>
      <c r="L57" s="614"/>
      <c r="M57" s="615"/>
      <c r="N57" s="613">
        <v>110</v>
      </c>
      <c r="O57" s="614"/>
      <c r="P57" s="614"/>
      <c r="Q57" s="615"/>
      <c r="R57" s="613">
        <v>373</v>
      </c>
      <c r="S57" s="614"/>
      <c r="T57" s="614"/>
      <c r="U57" s="615"/>
      <c r="V57" s="613">
        <v>288</v>
      </c>
      <c r="W57" s="614"/>
      <c r="X57" s="614"/>
      <c r="Y57" s="615"/>
      <c r="Z57" s="613">
        <f>499+1</f>
        <v>500</v>
      </c>
      <c r="AA57" s="614"/>
      <c r="AB57" s="614"/>
      <c r="AC57" s="615"/>
      <c r="AD57" s="613">
        <f>SUM(J57:AC57)</f>
        <v>2556</v>
      </c>
      <c r="AE57" s="614"/>
      <c r="AF57" s="614"/>
      <c r="AG57" s="615"/>
      <c r="AQ57" s="85"/>
      <c r="AR57" s="85"/>
      <c r="AY57" s="80"/>
      <c r="AZ57" s="80"/>
    </row>
    <row r="58" spans="1:52" s="14" customFormat="1" ht="15.6" customHeight="1" x14ac:dyDescent="0.15">
      <c r="B58" s="711"/>
      <c r="C58" s="712"/>
      <c r="D58" s="712"/>
      <c r="E58" s="713"/>
      <c r="F58" s="832" t="s">
        <v>30</v>
      </c>
      <c r="G58" s="833"/>
      <c r="H58" s="833"/>
      <c r="I58" s="834"/>
      <c r="J58" s="835">
        <f>J57/$AD$57</f>
        <v>0.50273865414710484</v>
      </c>
      <c r="K58" s="836"/>
      <c r="L58" s="836"/>
      <c r="M58" s="837"/>
      <c r="N58" s="835">
        <v>4.4999999999999998E-2</v>
      </c>
      <c r="O58" s="836"/>
      <c r="P58" s="836"/>
      <c r="Q58" s="837"/>
      <c r="R58" s="835">
        <f>R57/$AD$57</f>
        <v>0.14593114241001565</v>
      </c>
      <c r="S58" s="836"/>
      <c r="T58" s="836"/>
      <c r="U58" s="837"/>
      <c r="V58" s="835">
        <f>V57/$AD$57</f>
        <v>0.11267605633802817</v>
      </c>
      <c r="W58" s="836"/>
      <c r="X58" s="836"/>
      <c r="Y58" s="837"/>
      <c r="Z58" s="835">
        <v>0.193</v>
      </c>
      <c r="AA58" s="836"/>
      <c r="AB58" s="836"/>
      <c r="AC58" s="837"/>
      <c r="AD58" s="835">
        <v>1</v>
      </c>
      <c r="AE58" s="836"/>
      <c r="AF58" s="836"/>
      <c r="AG58" s="837"/>
      <c r="AJ58" s="84"/>
      <c r="AQ58" s="653"/>
      <c r="AR58" s="654"/>
      <c r="AY58" s="80"/>
      <c r="AZ58" s="80"/>
    </row>
    <row r="59" spans="1:52" s="14" customFormat="1" ht="15.6" customHeight="1" x14ac:dyDescent="0.15">
      <c r="B59" s="701" t="s">
        <v>160</v>
      </c>
      <c r="C59" s="702"/>
      <c r="D59" s="702"/>
      <c r="E59" s="703"/>
      <c r="F59" s="829" t="s">
        <v>9</v>
      </c>
      <c r="G59" s="830"/>
      <c r="H59" s="830"/>
      <c r="I59" s="831"/>
      <c r="J59" s="613">
        <v>1254</v>
      </c>
      <c r="K59" s="614"/>
      <c r="L59" s="614"/>
      <c r="M59" s="615"/>
      <c r="N59" s="613">
        <v>125</v>
      </c>
      <c r="O59" s="614"/>
      <c r="P59" s="614"/>
      <c r="Q59" s="615"/>
      <c r="R59" s="613">
        <v>367</v>
      </c>
      <c r="S59" s="614"/>
      <c r="T59" s="614"/>
      <c r="U59" s="615"/>
      <c r="V59" s="613">
        <v>289</v>
      </c>
      <c r="W59" s="614"/>
      <c r="X59" s="614"/>
      <c r="Y59" s="615"/>
      <c r="Z59" s="613">
        <v>510</v>
      </c>
      <c r="AA59" s="614"/>
      <c r="AB59" s="614"/>
      <c r="AC59" s="615"/>
      <c r="AD59" s="613">
        <v>2545</v>
      </c>
      <c r="AE59" s="614"/>
      <c r="AF59" s="614"/>
      <c r="AG59" s="615"/>
      <c r="AJ59" s="84"/>
      <c r="AQ59" s="654"/>
      <c r="AR59" s="654"/>
      <c r="AY59" s="80"/>
      <c r="AZ59" s="80"/>
    </row>
    <row r="60" spans="1:52" s="14" customFormat="1" ht="15.6" customHeight="1" x14ac:dyDescent="0.15">
      <c r="B60" s="711"/>
      <c r="C60" s="712"/>
      <c r="D60" s="712"/>
      <c r="E60" s="713"/>
      <c r="F60" s="832" t="s">
        <v>30</v>
      </c>
      <c r="G60" s="833"/>
      <c r="H60" s="833"/>
      <c r="I60" s="834"/>
      <c r="J60" s="835">
        <f>J59/$AD$59</f>
        <v>0.49273084479371315</v>
      </c>
      <c r="K60" s="836"/>
      <c r="L60" s="836"/>
      <c r="M60" s="837"/>
      <c r="N60" s="835">
        <f>N59/AD59</f>
        <v>4.9115913555992138E-2</v>
      </c>
      <c r="O60" s="836"/>
      <c r="P60" s="836"/>
      <c r="Q60" s="837"/>
      <c r="R60" s="835">
        <f>R59/AD59</f>
        <v>0.14420432220039292</v>
      </c>
      <c r="S60" s="836"/>
      <c r="T60" s="836"/>
      <c r="U60" s="837"/>
      <c r="V60" s="835">
        <f>V59/AD59</f>
        <v>0.11355599214145383</v>
      </c>
      <c r="W60" s="836"/>
      <c r="X60" s="836"/>
      <c r="Y60" s="837"/>
      <c r="Z60" s="835">
        <v>0.2</v>
      </c>
      <c r="AA60" s="836"/>
      <c r="AB60" s="836"/>
      <c r="AC60" s="837"/>
      <c r="AD60" s="661">
        <v>1</v>
      </c>
      <c r="AE60" s="662"/>
      <c r="AF60" s="662"/>
      <c r="AG60" s="663"/>
      <c r="AJ60" s="84"/>
      <c r="AQ60" s="654"/>
      <c r="AR60" s="654"/>
      <c r="AY60" s="80"/>
      <c r="AZ60" s="80"/>
    </row>
    <row r="61" spans="1:52" s="14" customFormat="1" ht="15.6" customHeight="1" x14ac:dyDescent="0.15">
      <c r="A61" s="16"/>
      <c r="B61" s="667" t="s">
        <v>31</v>
      </c>
      <c r="C61" s="668"/>
      <c r="D61" s="668"/>
      <c r="E61" s="669"/>
      <c r="F61" s="673" t="s">
        <v>9</v>
      </c>
      <c r="G61" s="673"/>
      <c r="H61" s="673"/>
      <c r="I61" s="673"/>
      <c r="J61" s="674">
        <f>J57-J59</f>
        <v>31</v>
      </c>
      <c r="K61" s="674"/>
      <c r="L61" s="674"/>
      <c r="M61" s="674"/>
      <c r="N61" s="674">
        <f>N57-N59</f>
        <v>-15</v>
      </c>
      <c r="O61" s="674"/>
      <c r="P61" s="674"/>
      <c r="Q61" s="674"/>
      <c r="R61" s="674">
        <f>R57-R59</f>
        <v>6</v>
      </c>
      <c r="S61" s="674"/>
      <c r="T61" s="674"/>
      <c r="U61" s="674"/>
      <c r="V61" s="674">
        <f>V57-V59</f>
        <v>-1</v>
      </c>
      <c r="W61" s="674"/>
      <c r="X61" s="674"/>
      <c r="Y61" s="674"/>
      <c r="Z61" s="674">
        <f>Z57-Z59</f>
        <v>-10</v>
      </c>
      <c r="AA61" s="674"/>
      <c r="AB61" s="674"/>
      <c r="AC61" s="674"/>
      <c r="AD61" s="675">
        <f>SUM(J61:AC61)</f>
        <v>11</v>
      </c>
      <c r="AE61" s="676"/>
      <c r="AF61" s="676"/>
      <c r="AG61" s="677"/>
      <c r="AH61" s="16"/>
      <c r="AI61" s="16"/>
      <c r="AJ61" s="16"/>
      <c r="AK61" s="16"/>
      <c r="AL61" s="16"/>
      <c r="AM61" s="16"/>
      <c r="AQ61" s="654"/>
      <c r="AR61" s="654"/>
      <c r="AY61" s="80"/>
      <c r="AZ61" s="80"/>
    </row>
    <row r="62" spans="1:52" s="14" customFormat="1" ht="15.6" customHeight="1" x14ac:dyDescent="0.15">
      <c r="A62" s="16"/>
      <c r="B62" s="670"/>
      <c r="C62" s="671"/>
      <c r="D62" s="671"/>
      <c r="E62" s="672"/>
      <c r="F62" s="692" t="s">
        <v>32</v>
      </c>
      <c r="G62" s="692"/>
      <c r="H62" s="692"/>
      <c r="I62" s="692"/>
      <c r="J62" s="693">
        <f>J57/J59</f>
        <v>1.0247208931419458</v>
      </c>
      <c r="K62" s="693"/>
      <c r="L62" s="693"/>
      <c r="M62" s="693"/>
      <c r="N62" s="693">
        <f>N57/N59</f>
        <v>0.88</v>
      </c>
      <c r="O62" s="693"/>
      <c r="P62" s="693"/>
      <c r="Q62" s="693"/>
      <c r="R62" s="693">
        <f>R57/R59</f>
        <v>1.0163487738419619</v>
      </c>
      <c r="S62" s="693"/>
      <c r="T62" s="693"/>
      <c r="U62" s="693"/>
      <c r="V62" s="693">
        <f>V57/V59</f>
        <v>0.9965397923875432</v>
      </c>
      <c r="W62" s="693"/>
      <c r="X62" s="693"/>
      <c r="Y62" s="693"/>
      <c r="Z62" s="693">
        <f>Z57/Z59</f>
        <v>0.98039215686274506</v>
      </c>
      <c r="AA62" s="693"/>
      <c r="AB62" s="693"/>
      <c r="AC62" s="693"/>
      <c r="AD62" s="694">
        <f>AD57/AD59</f>
        <v>1.0043222003929273</v>
      </c>
      <c r="AE62" s="695"/>
      <c r="AF62" s="695"/>
      <c r="AG62" s="696"/>
      <c r="AH62" s="16"/>
      <c r="AI62" s="16"/>
      <c r="AJ62" s="16"/>
      <c r="AK62" s="16"/>
      <c r="AL62" s="16"/>
      <c r="AM62" s="16"/>
      <c r="AQ62" s="654"/>
      <c r="AR62" s="654"/>
      <c r="AY62" s="80"/>
      <c r="AZ62" s="80"/>
    </row>
    <row r="63" spans="1:52" s="3" customFormat="1" ht="15.6" customHeight="1" x14ac:dyDescent="0.15">
      <c r="A63" s="49"/>
      <c r="B63" s="362"/>
      <c r="C63" s="362"/>
      <c r="D63" s="355"/>
      <c r="E63" s="355"/>
      <c r="F63" s="355"/>
      <c r="G63" s="355"/>
      <c r="H63" s="351"/>
      <c r="I63" s="365"/>
      <c r="J63" s="365"/>
      <c r="K63" s="365"/>
      <c r="L63" s="365"/>
      <c r="M63" s="362"/>
      <c r="N63" s="365"/>
      <c r="O63" s="365"/>
      <c r="P63" s="365"/>
      <c r="Q63" s="365"/>
      <c r="R63" s="362"/>
      <c r="S63" s="355"/>
      <c r="T63" s="355"/>
      <c r="U63" s="355"/>
      <c r="V63" s="355"/>
      <c r="W63" s="363"/>
      <c r="X63" s="363"/>
      <c r="Y63" s="365"/>
      <c r="Z63" s="37"/>
      <c r="AA63" s="365"/>
      <c r="AB63" s="365"/>
      <c r="AC63" s="363"/>
      <c r="AD63" s="363"/>
      <c r="AE63" s="355"/>
      <c r="AF63" s="355"/>
      <c r="AG63" s="355"/>
      <c r="AH63" s="16"/>
      <c r="AI63" s="16"/>
      <c r="AJ63" s="16"/>
      <c r="AK63" s="16"/>
      <c r="AL63" s="16"/>
      <c r="AM63" s="16"/>
      <c r="AN63" s="14"/>
      <c r="AO63" s="14"/>
      <c r="AP63" s="14"/>
      <c r="AQ63" s="654"/>
      <c r="AR63" s="654"/>
      <c r="AS63" s="14"/>
      <c r="AT63" s="14"/>
      <c r="AU63" s="14"/>
      <c r="AY63" s="79"/>
      <c r="AZ63" s="79"/>
    </row>
    <row r="64" spans="1:52" s="3" customFormat="1" ht="15.6" customHeight="1" x14ac:dyDescent="0.15">
      <c r="A64" s="56" t="s">
        <v>110</v>
      </c>
      <c r="B64" s="332"/>
      <c r="C64" s="332"/>
      <c r="D64" s="332"/>
      <c r="E64" s="332"/>
      <c r="F64" s="332"/>
      <c r="G64" s="333" t="s">
        <v>134</v>
      </c>
      <c r="H64" s="334"/>
      <c r="I64" s="334"/>
      <c r="J64" s="334"/>
      <c r="K64" s="334"/>
      <c r="L64" s="334"/>
      <c r="M64" s="334"/>
      <c r="N64" s="334"/>
      <c r="O64" s="36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346" t="s">
        <v>40</v>
      </c>
      <c r="AH64" s="16"/>
      <c r="AI64" s="16"/>
      <c r="AJ64" s="16"/>
      <c r="AK64" s="16"/>
      <c r="AL64" s="16"/>
      <c r="AM64" s="16"/>
      <c r="AN64" s="16"/>
      <c r="AO64" s="16"/>
      <c r="AP64" s="16"/>
      <c r="AQ64" s="654"/>
      <c r="AR64" s="654"/>
      <c r="AS64" s="16"/>
      <c r="AT64" s="16"/>
      <c r="AU64" s="16"/>
      <c r="AY64" s="79"/>
      <c r="AZ64" s="79"/>
    </row>
    <row r="65" spans="1:52" s="3" customFormat="1" ht="15.6" customHeight="1" x14ac:dyDescent="0.15">
      <c r="A65" s="49"/>
      <c r="B65" s="678" t="s">
        <v>25</v>
      </c>
      <c r="C65" s="679"/>
      <c r="D65" s="680"/>
      <c r="E65" s="684" t="s">
        <v>41</v>
      </c>
      <c r="F65" s="685"/>
      <c r="G65" s="686"/>
      <c r="H65" s="684" t="s">
        <v>42</v>
      </c>
      <c r="I65" s="685"/>
      <c r="J65" s="686"/>
      <c r="K65" s="684" t="s">
        <v>43</v>
      </c>
      <c r="L65" s="685"/>
      <c r="M65" s="690" t="s">
        <v>44</v>
      </c>
      <c r="N65" s="690"/>
      <c r="O65" s="690" t="s">
        <v>45</v>
      </c>
      <c r="P65" s="690"/>
      <c r="Q65" s="690"/>
      <c r="R65" s="684" t="s">
        <v>46</v>
      </c>
      <c r="S65" s="686"/>
      <c r="T65" s="684" t="s">
        <v>47</v>
      </c>
      <c r="U65" s="686"/>
      <c r="V65" s="690" t="s">
        <v>48</v>
      </c>
      <c r="W65" s="690"/>
      <c r="X65" s="690" t="s">
        <v>112</v>
      </c>
      <c r="Y65" s="690"/>
      <c r="Z65" s="684" t="s">
        <v>113</v>
      </c>
      <c r="AA65" s="685"/>
      <c r="AB65" s="686"/>
      <c r="AC65" s="697" t="s">
        <v>128</v>
      </c>
      <c r="AD65" s="698"/>
      <c r="AE65" s="684" t="s">
        <v>82</v>
      </c>
      <c r="AF65" s="685"/>
      <c r="AG65" s="686"/>
      <c r="AH65" s="16"/>
      <c r="AI65" s="16"/>
      <c r="AJ65" s="16"/>
      <c r="AK65" s="16"/>
      <c r="AL65" s="16"/>
      <c r="AM65" s="16"/>
      <c r="AN65" s="16"/>
      <c r="AO65" s="16"/>
      <c r="AP65" s="16"/>
      <c r="AQ65" s="654"/>
      <c r="AR65" s="654"/>
      <c r="AS65" s="16"/>
      <c r="AT65" s="16"/>
      <c r="AU65" s="16"/>
      <c r="AY65" s="79"/>
      <c r="AZ65" s="79"/>
    </row>
    <row r="66" spans="1:52" s="3" customFormat="1" ht="15.6" customHeight="1" x14ac:dyDescent="0.15">
      <c r="A66" s="49"/>
      <c r="B66" s="681"/>
      <c r="C66" s="682"/>
      <c r="D66" s="683"/>
      <c r="E66" s="687"/>
      <c r="F66" s="688"/>
      <c r="G66" s="689"/>
      <c r="H66" s="687"/>
      <c r="I66" s="688"/>
      <c r="J66" s="689"/>
      <c r="K66" s="687"/>
      <c r="L66" s="688"/>
      <c r="M66" s="691"/>
      <c r="N66" s="691"/>
      <c r="O66" s="691"/>
      <c r="P66" s="691"/>
      <c r="Q66" s="691"/>
      <c r="R66" s="687"/>
      <c r="S66" s="689"/>
      <c r="T66" s="687"/>
      <c r="U66" s="689"/>
      <c r="V66" s="691"/>
      <c r="W66" s="691"/>
      <c r="X66" s="691"/>
      <c r="Y66" s="691"/>
      <c r="Z66" s="687"/>
      <c r="AA66" s="688"/>
      <c r="AB66" s="689"/>
      <c r="AC66" s="699"/>
      <c r="AD66" s="700"/>
      <c r="AE66" s="687"/>
      <c r="AF66" s="688"/>
      <c r="AG66" s="689"/>
      <c r="AH66" s="16"/>
      <c r="AI66" s="16"/>
      <c r="AJ66" s="16"/>
      <c r="AK66" s="16"/>
      <c r="AL66" s="16"/>
      <c r="AM66" s="16"/>
      <c r="AN66" s="16"/>
      <c r="AO66" s="16"/>
      <c r="AP66" s="16"/>
      <c r="AQ66" s="654"/>
      <c r="AR66" s="654"/>
      <c r="AS66" s="16"/>
      <c r="AT66" s="16"/>
      <c r="AU66" s="16"/>
      <c r="AY66" s="79"/>
      <c r="AZ66" s="79"/>
    </row>
    <row r="67" spans="1:52" s="14" customFormat="1" ht="15.6" customHeight="1" x14ac:dyDescent="0.15">
      <c r="A67" s="366"/>
      <c r="B67" s="701" t="s">
        <v>86</v>
      </c>
      <c r="C67" s="702"/>
      <c r="D67" s="703"/>
      <c r="E67" s="667">
        <v>2225</v>
      </c>
      <c r="F67" s="668"/>
      <c r="G67" s="669"/>
      <c r="H67" s="667">
        <v>2333</v>
      </c>
      <c r="I67" s="668"/>
      <c r="J67" s="669"/>
      <c r="K67" s="667">
        <v>112</v>
      </c>
      <c r="L67" s="668"/>
      <c r="M67" s="673">
        <v>598</v>
      </c>
      <c r="N67" s="673"/>
      <c r="O67" s="673">
        <v>2147</v>
      </c>
      <c r="P67" s="673"/>
      <c r="Q67" s="673"/>
      <c r="R67" s="667">
        <v>0</v>
      </c>
      <c r="S67" s="669"/>
      <c r="T67" s="667">
        <v>60</v>
      </c>
      <c r="U67" s="669"/>
      <c r="V67" s="673">
        <v>13</v>
      </c>
      <c r="W67" s="673"/>
      <c r="X67" s="715">
        <v>10</v>
      </c>
      <c r="Y67" s="715"/>
      <c r="Z67" s="717">
        <v>0</v>
      </c>
      <c r="AA67" s="718"/>
      <c r="AB67" s="719"/>
      <c r="AC67" s="717">
        <v>0</v>
      </c>
      <c r="AD67" s="719"/>
      <c r="AE67" s="667">
        <f>SUM(E67:AD68)</f>
        <v>7498</v>
      </c>
      <c r="AF67" s="668"/>
      <c r="AG67" s="669"/>
      <c r="AH67" s="541"/>
      <c r="AI67" s="541"/>
      <c r="AJ67" s="541"/>
      <c r="AK67" s="541"/>
      <c r="AL67" s="541"/>
      <c r="AM67" s="541"/>
      <c r="AN67" s="541"/>
      <c r="AO67" s="541"/>
      <c r="AP67" s="541"/>
      <c r="AQ67" s="654"/>
      <c r="AR67" s="654"/>
      <c r="AS67" s="541"/>
      <c r="AT67" s="541"/>
      <c r="AU67" s="541"/>
      <c r="AY67" s="80"/>
      <c r="AZ67" s="80"/>
    </row>
    <row r="68" spans="1:52" s="14" customFormat="1" ht="15.6" customHeight="1" x14ac:dyDescent="0.15">
      <c r="A68" s="366"/>
      <c r="B68" s="711"/>
      <c r="C68" s="712"/>
      <c r="D68" s="713"/>
      <c r="E68" s="670"/>
      <c r="F68" s="671"/>
      <c r="G68" s="672"/>
      <c r="H68" s="670"/>
      <c r="I68" s="671"/>
      <c r="J68" s="672"/>
      <c r="K68" s="670"/>
      <c r="L68" s="671"/>
      <c r="M68" s="714"/>
      <c r="N68" s="714"/>
      <c r="O68" s="714"/>
      <c r="P68" s="714"/>
      <c r="Q68" s="714"/>
      <c r="R68" s="670"/>
      <c r="S68" s="672"/>
      <c r="T68" s="670"/>
      <c r="U68" s="672"/>
      <c r="V68" s="714"/>
      <c r="W68" s="714"/>
      <c r="X68" s="726"/>
      <c r="Y68" s="726"/>
      <c r="Z68" s="727"/>
      <c r="AA68" s="728"/>
      <c r="AB68" s="729"/>
      <c r="AC68" s="727"/>
      <c r="AD68" s="729"/>
      <c r="AE68" s="670"/>
      <c r="AF68" s="671"/>
      <c r="AG68" s="672"/>
      <c r="AH68" s="541"/>
      <c r="AI68" s="541"/>
      <c r="AJ68" s="541"/>
      <c r="AK68" s="541"/>
      <c r="AL68" s="541"/>
      <c r="AM68" s="541"/>
      <c r="AN68" s="541"/>
      <c r="AO68" s="541"/>
      <c r="AP68" s="541"/>
      <c r="AQ68" s="654"/>
      <c r="AR68" s="654"/>
      <c r="AS68" s="541"/>
      <c r="AT68" s="541"/>
      <c r="AU68" s="541"/>
      <c r="AY68" s="80"/>
      <c r="AZ68" s="80"/>
    </row>
    <row r="69" spans="1:52" s="14" customFormat="1" ht="15.6" customHeight="1" x14ac:dyDescent="0.15">
      <c r="A69" s="366"/>
      <c r="B69" s="701" t="s">
        <v>87</v>
      </c>
      <c r="C69" s="702"/>
      <c r="D69" s="703"/>
      <c r="E69" s="667">
        <v>2830</v>
      </c>
      <c r="F69" s="668"/>
      <c r="G69" s="669"/>
      <c r="H69" s="667">
        <v>2944</v>
      </c>
      <c r="I69" s="668"/>
      <c r="J69" s="669"/>
      <c r="K69" s="667">
        <v>162</v>
      </c>
      <c r="L69" s="668"/>
      <c r="M69" s="673">
        <v>618</v>
      </c>
      <c r="N69" s="673"/>
      <c r="O69" s="673">
        <v>2648</v>
      </c>
      <c r="P69" s="673"/>
      <c r="Q69" s="673"/>
      <c r="R69" s="667">
        <v>0</v>
      </c>
      <c r="S69" s="669"/>
      <c r="T69" s="667">
        <v>68</v>
      </c>
      <c r="U69" s="669"/>
      <c r="V69" s="673">
        <v>13</v>
      </c>
      <c r="W69" s="673"/>
      <c r="X69" s="715">
        <v>10</v>
      </c>
      <c r="Y69" s="715"/>
      <c r="Z69" s="717">
        <v>0</v>
      </c>
      <c r="AA69" s="718"/>
      <c r="AB69" s="719"/>
      <c r="AC69" s="717">
        <v>0</v>
      </c>
      <c r="AD69" s="719"/>
      <c r="AE69" s="723">
        <f>SUM(E69:AC70)</f>
        <v>9293</v>
      </c>
      <c r="AF69" s="724"/>
      <c r="AG69" s="725"/>
      <c r="AH69" s="541"/>
      <c r="AI69" s="541"/>
      <c r="AJ69" s="541"/>
      <c r="AK69" s="541"/>
      <c r="AL69" s="541"/>
      <c r="AM69" s="541"/>
      <c r="AN69" s="541"/>
      <c r="AO69" s="541"/>
      <c r="AP69" s="541"/>
      <c r="AQ69" s="86"/>
      <c r="AR69" s="86"/>
      <c r="AS69" s="541"/>
      <c r="AT69" s="541"/>
      <c r="AU69" s="541"/>
      <c r="AY69" s="80"/>
      <c r="AZ69" s="80"/>
    </row>
    <row r="70" spans="1:52" s="14" customFormat="1" ht="15.6" customHeight="1" thickBot="1" x14ac:dyDescent="0.2">
      <c r="A70" s="16"/>
      <c r="B70" s="704"/>
      <c r="C70" s="705"/>
      <c r="D70" s="706"/>
      <c r="E70" s="707"/>
      <c r="F70" s="708"/>
      <c r="G70" s="709"/>
      <c r="H70" s="707"/>
      <c r="I70" s="708"/>
      <c r="J70" s="709"/>
      <c r="K70" s="707"/>
      <c r="L70" s="708"/>
      <c r="M70" s="710"/>
      <c r="N70" s="710"/>
      <c r="O70" s="710"/>
      <c r="P70" s="710"/>
      <c r="Q70" s="710"/>
      <c r="R70" s="707"/>
      <c r="S70" s="709"/>
      <c r="T70" s="707"/>
      <c r="U70" s="709"/>
      <c r="V70" s="710"/>
      <c r="W70" s="710"/>
      <c r="X70" s="716"/>
      <c r="Y70" s="716"/>
      <c r="Z70" s="720"/>
      <c r="AA70" s="721"/>
      <c r="AB70" s="722"/>
      <c r="AC70" s="720"/>
      <c r="AD70" s="722"/>
      <c r="AE70" s="707"/>
      <c r="AF70" s="708"/>
      <c r="AG70" s="709"/>
      <c r="AH70" s="16"/>
      <c r="AI70" s="16"/>
      <c r="AJ70" s="16"/>
      <c r="AK70" s="16"/>
      <c r="AL70" s="16"/>
      <c r="AM70" s="16"/>
      <c r="AN70" s="16"/>
      <c r="AO70" s="16"/>
      <c r="AP70" s="16"/>
      <c r="AQ70" s="87"/>
      <c r="AR70" s="87"/>
      <c r="AS70" s="16"/>
      <c r="AT70" s="16"/>
      <c r="AU70" s="16"/>
      <c r="AY70" s="80"/>
      <c r="AZ70" s="80"/>
    </row>
    <row r="71" spans="1:52" s="14" customFormat="1" ht="15.6" customHeight="1" thickTop="1" x14ac:dyDescent="0.15">
      <c r="A71" s="16"/>
      <c r="B71" s="874" t="s">
        <v>204</v>
      </c>
      <c r="C71" s="875"/>
      <c r="D71" s="876"/>
      <c r="E71" s="847">
        <v>1815194</v>
      </c>
      <c r="F71" s="848"/>
      <c r="G71" s="849"/>
      <c r="H71" s="847">
        <v>1042131</v>
      </c>
      <c r="I71" s="848"/>
      <c r="J71" s="849"/>
      <c r="K71" s="847">
        <v>17140</v>
      </c>
      <c r="L71" s="848"/>
      <c r="M71" s="855">
        <v>207464</v>
      </c>
      <c r="N71" s="855"/>
      <c r="O71" s="855">
        <v>2887036</v>
      </c>
      <c r="P71" s="855"/>
      <c r="Q71" s="855"/>
      <c r="R71" s="847">
        <v>1155</v>
      </c>
      <c r="S71" s="849"/>
      <c r="T71" s="847">
        <v>11167</v>
      </c>
      <c r="U71" s="849"/>
      <c r="V71" s="855">
        <v>20551</v>
      </c>
      <c r="W71" s="855"/>
      <c r="X71" s="855">
        <v>24936</v>
      </c>
      <c r="Y71" s="855"/>
      <c r="Z71" s="847">
        <v>784</v>
      </c>
      <c r="AA71" s="848"/>
      <c r="AB71" s="849"/>
      <c r="AC71" s="870">
        <v>800</v>
      </c>
      <c r="AD71" s="871"/>
      <c r="AE71" s="847">
        <f>SUM(E71:AD72)</f>
        <v>6028358</v>
      </c>
      <c r="AF71" s="848"/>
      <c r="AG71" s="849"/>
      <c r="AH71" s="16"/>
      <c r="AI71" s="537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Y71" s="80"/>
      <c r="AZ71" s="80"/>
    </row>
    <row r="72" spans="1:52" s="14" customFormat="1" ht="15.6" customHeight="1" x14ac:dyDescent="0.15">
      <c r="A72" s="16"/>
      <c r="B72" s="877"/>
      <c r="C72" s="878"/>
      <c r="D72" s="879"/>
      <c r="E72" s="850"/>
      <c r="F72" s="851"/>
      <c r="G72" s="852"/>
      <c r="H72" s="850"/>
      <c r="I72" s="851"/>
      <c r="J72" s="852"/>
      <c r="K72" s="853"/>
      <c r="L72" s="854"/>
      <c r="M72" s="856"/>
      <c r="N72" s="856"/>
      <c r="O72" s="856"/>
      <c r="P72" s="856"/>
      <c r="Q72" s="856"/>
      <c r="R72" s="850"/>
      <c r="S72" s="852"/>
      <c r="T72" s="850"/>
      <c r="U72" s="852"/>
      <c r="V72" s="856"/>
      <c r="W72" s="856"/>
      <c r="X72" s="856"/>
      <c r="Y72" s="856"/>
      <c r="Z72" s="853"/>
      <c r="AA72" s="854"/>
      <c r="AB72" s="864"/>
      <c r="AC72" s="872"/>
      <c r="AD72" s="873"/>
      <c r="AE72" s="853"/>
      <c r="AF72" s="854"/>
      <c r="AG72" s="864"/>
      <c r="AH72" s="16"/>
      <c r="AI72" s="537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Y72" s="80"/>
      <c r="AZ72" s="80"/>
    </row>
    <row r="73" spans="1:52" s="14" customFormat="1" ht="15.6" customHeight="1" x14ac:dyDescent="0.15">
      <c r="A73" s="16"/>
      <c r="B73" s="865" t="s">
        <v>30</v>
      </c>
      <c r="C73" s="866"/>
      <c r="D73" s="867"/>
      <c r="E73" s="858">
        <v>0.30120000000000002</v>
      </c>
      <c r="F73" s="859"/>
      <c r="G73" s="860"/>
      <c r="H73" s="858">
        <f>H71/AE71</f>
        <v>0.17287145189452915</v>
      </c>
      <c r="I73" s="859"/>
      <c r="J73" s="860"/>
      <c r="K73" s="858">
        <f>K71/AE71</f>
        <v>2.8432286204634828E-3</v>
      </c>
      <c r="L73" s="860"/>
      <c r="M73" s="858">
        <f>M71/AE71</f>
        <v>3.4414678093105951E-2</v>
      </c>
      <c r="N73" s="859"/>
      <c r="O73" s="858">
        <f>O71/AE71</f>
        <v>0.47890918223502982</v>
      </c>
      <c r="P73" s="859"/>
      <c r="Q73" s="860"/>
      <c r="R73" s="868">
        <f>R71/AE71</f>
        <v>1.9159446071384612E-4</v>
      </c>
      <c r="S73" s="869"/>
      <c r="T73" s="868">
        <f>T71/AE71</f>
        <v>1.8524115522004499E-3</v>
      </c>
      <c r="U73" s="869"/>
      <c r="V73" s="857">
        <f>V71/AE71</f>
        <v>3.4090543395067113E-3</v>
      </c>
      <c r="W73" s="857"/>
      <c r="X73" s="857">
        <f>X71/AE71</f>
        <v>4.1364497596194519E-3</v>
      </c>
      <c r="Y73" s="857"/>
      <c r="Z73" s="858">
        <f>Z71/AE71</f>
        <v>1.300519975754592E-4</v>
      </c>
      <c r="AA73" s="859"/>
      <c r="AB73" s="860"/>
      <c r="AC73" s="858">
        <f>AC71/AE71</f>
        <v>1.3270611997495837E-4</v>
      </c>
      <c r="AD73" s="860"/>
      <c r="AE73" s="861">
        <v>1</v>
      </c>
      <c r="AF73" s="862"/>
      <c r="AG73" s="863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Y73" s="80"/>
      <c r="AZ73" s="80"/>
    </row>
    <row r="74" spans="1:52" s="3" customFormat="1" ht="15.6" customHeight="1" x14ac:dyDescent="0.15">
      <c r="A74" s="49"/>
      <c r="B74" s="365"/>
      <c r="C74" s="362"/>
      <c r="D74" s="362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70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Y74" s="79"/>
      <c r="AZ74" s="79"/>
    </row>
    <row r="75" spans="1:52" s="3" customFormat="1" ht="15.6" customHeight="1" x14ac:dyDescent="0.15">
      <c r="A75" s="50" t="s">
        <v>71</v>
      </c>
      <c r="B75" s="49"/>
      <c r="C75" s="49"/>
      <c r="D75" s="49"/>
      <c r="E75" s="49"/>
      <c r="F75" s="49"/>
      <c r="G75" s="49"/>
      <c r="H75" s="49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358" t="s">
        <v>33</v>
      </c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Y75" s="79"/>
      <c r="AZ75" s="79"/>
    </row>
    <row r="76" spans="1:52" s="3" customFormat="1" ht="15.6" customHeight="1" x14ac:dyDescent="0.15">
      <c r="A76" s="49"/>
      <c r="B76" s="730" t="s">
        <v>34</v>
      </c>
      <c r="C76" s="730"/>
      <c r="D76" s="730"/>
      <c r="E76" s="730"/>
      <c r="F76" s="730"/>
      <c r="G76" s="730"/>
      <c r="H76" s="730" t="s">
        <v>35</v>
      </c>
      <c r="I76" s="730"/>
      <c r="J76" s="730"/>
      <c r="K76" s="730"/>
      <c r="L76" s="730"/>
      <c r="M76" s="730"/>
      <c r="N76" s="730"/>
      <c r="O76" s="730"/>
      <c r="P76" s="730"/>
      <c r="Q76" s="730"/>
      <c r="R76" s="730"/>
      <c r="S76" s="730"/>
      <c r="T76" s="730"/>
      <c r="U76" s="730"/>
      <c r="V76" s="730"/>
      <c r="W76" s="730"/>
      <c r="X76" s="730"/>
      <c r="Y76" s="730"/>
      <c r="Z76" s="549" t="s">
        <v>36</v>
      </c>
      <c r="AA76" s="550"/>
      <c r="AB76" s="550"/>
      <c r="AC76" s="550"/>
      <c r="AD76" s="550"/>
      <c r="AE76" s="550"/>
      <c r="AF76" s="550"/>
      <c r="AG76" s="551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Y76" s="79"/>
      <c r="AZ76" s="79"/>
    </row>
    <row r="77" spans="1:52" s="3" customFormat="1" ht="15.6" customHeight="1" x14ac:dyDescent="0.15">
      <c r="A77" s="49"/>
      <c r="B77" s="730"/>
      <c r="C77" s="730"/>
      <c r="D77" s="730"/>
      <c r="E77" s="730"/>
      <c r="F77" s="730"/>
      <c r="G77" s="730"/>
      <c r="H77" s="730" t="s">
        <v>37</v>
      </c>
      <c r="I77" s="730"/>
      <c r="J77" s="730"/>
      <c r="K77" s="730"/>
      <c r="L77" s="730"/>
      <c r="M77" s="730"/>
      <c r="N77" s="730" t="s">
        <v>38</v>
      </c>
      <c r="O77" s="730"/>
      <c r="P77" s="730"/>
      <c r="Q77" s="730"/>
      <c r="R77" s="730"/>
      <c r="S77" s="730"/>
      <c r="T77" s="730" t="s">
        <v>39</v>
      </c>
      <c r="U77" s="730"/>
      <c r="V77" s="730"/>
      <c r="W77" s="730"/>
      <c r="X77" s="730"/>
      <c r="Y77" s="730"/>
      <c r="Z77" s="552"/>
      <c r="AA77" s="553"/>
      <c r="AB77" s="553"/>
      <c r="AC77" s="553"/>
      <c r="AD77" s="553"/>
      <c r="AE77" s="553"/>
      <c r="AF77" s="553"/>
      <c r="AG77" s="554"/>
      <c r="AH77" s="16"/>
      <c r="AI77" s="16"/>
      <c r="AJ77" s="16"/>
      <c r="AK77" s="16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Y77" s="79"/>
      <c r="AZ77" s="79"/>
    </row>
    <row r="78" spans="1:52" s="3" customFormat="1" ht="15.6" customHeight="1" x14ac:dyDescent="0.15">
      <c r="A78" s="49"/>
      <c r="B78" s="731" t="s">
        <v>137</v>
      </c>
      <c r="C78" s="732"/>
      <c r="D78" s="732"/>
      <c r="E78" s="732"/>
      <c r="F78" s="732"/>
      <c r="G78" s="733"/>
      <c r="H78" s="734">
        <v>5300000</v>
      </c>
      <c r="I78" s="735"/>
      <c r="J78" s="735"/>
      <c r="K78" s="735"/>
      <c r="L78" s="735"/>
      <c r="M78" s="736"/>
      <c r="N78" s="737">
        <v>346000</v>
      </c>
      <c r="O78" s="738"/>
      <c r="P78" s="738"/>
      <c r="Q78" s="738"/>
      <c r="R78" s="738"/>
      <c r="S78" s="739"/>
      <c r="T78" s="734">
        <f t="shared" ref="T78:T80" si="1">SUM(H78:S78)</f>
        <v>5646000</v>
      </c>
      <c r="U78" s="735"/>
      <c r="V78" s="735"/>
      <c r="W78" s="735"/>
      <c r="X78" s="735"/>
      <c r="Y78" s="736"/>
      <c r="Z78" s="740">
        <v>5636644</v>
      </c>
      <c r="AA78" s="741"/>
      <c r="AB78" s="741"/>
      <c r="AC78" s="741"/>
      <c r="AD78" s="741"/>
      <c r="AE78" s="741"/>
      <c r="AF78" s="741"/>
      <c r="AG78" s="742"/>
      <c r="AH78" s="16"/>
      <c r="AI78" s="16"/>
      <c r="AJ78" s="16"/>
      <c r="AK78" s="16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Y78" s="79"/>
      <c r="AZ78" s="79"/>
    </row>
    <row r="79" spans="1:52" s="3" customFormat="1" ht="15.6" customHeight="1" x14ac:dyDescent="0.15">
      <c r="A79" s="49"/>
      <c r="B79" s="731" t="s">
        <v>138</v>
      </c>
      <c r="C79" s="732"/>
      <c r="D79" s="732"/>
      <c r="E79" s="732"/>
      <c r="F79" s="732"/>
      <c r="G79" s="733"/>
      <c r="H79" s="734">
        <v>5310000</v>
      </c>
      <c r="I79" s="735"/>
      <c r="J79" s="735"/>
      <c r="K79" s="735"/>
      <c r="L79" s="735"/>
      <c r="M79" s="736"/>
      <c r="N79" s="743">
        <v>197000</v>
      </c>
      <c r="O79" s="744"/>
      <c r="P79" s="744"/>
      <c r="Q79" s="744"/>
      <c r="R79" s="744"/>
      <c r="S79" s="745"/>
      <c r="T79" s="734">
        <f t="shared" si="1"/>
        <v>5507000</v>
      </c>
      <c r="U79" s="735"/>
      <c r="V79" s="735"/>
      <c r="W79" s="735"/>
      <c r="X79" s="735"/>
      <c r="Y79" s="736"/>
      <c r="Z79" s="734">
        <v>5500325</v>
      </c>
      <c r="AA79" s="735"/>
      <c r="AB79" s="735"/>
      <c r="AC79" s="735"/>
      <c r="AD79" s="735"/>
      <c r="AE79" s="735"/>
      <c r="AF79" s="735"/>
      <c r="AG79" s="736"/>
      <c r="AH79" s="16"/>
      <c r="AI79" s="16"/>
      <c r="AJ79" s="16"/>
      <c r="AK79" s="16"/>
      <c r="AL79" s="16"/>
      <c r="AM79" s="16"/>
      <c r="AN79" s="16"/>
      <c r="AO79" s="16"/>
      <c r="AP79" s="14"/>
      <c r="AQ79" s="14"/>
      <c r="AR79" s="14"/>
      <c r="AS79" s="14"/>
      <c r="AT79" s="14"/>
      <c r="AU79" s="14"/>
      <c r="AY79" s="79"/>
      <c r="AZ79" s="79"/>
    </row>
    <row r="80" spans="1:52" s="3" customFormat="1" ht="15.6" customHeight="1" x14ac:dyDescent="0.15">
      <c r="A80" s="49"/>
      <c r="B80" s="746" t="s">
        <v>132</v>
      </c>
      <c r="C80" s="746"/>
      <c r="D80" s="746"/>
      <c r="E80" s="746"/>
      <c r="F80" s="746"/>
      <c r="G80" s="746"/>
      <c r="H80" s="747">
        <v>5510000</v>
      </c>
      <c r="I80" s="748"/>
      <c r="J80" s="748"/>
      <c r="K80" s="748"/>
      <c r="L80" s="748"/>
      <c r="M80" s="749"/>
      <c r="N80" s="743">
        <v>388000</v>
      </c>
      <c r="O80" s="744"/>
      <c r="P80" s="744"/>
      <c r="Q80" s="744"/>
      <c r="R80" s="744"/>
      <c r="S80" s="745"/>
      <c r="T80" s="747">
        <f t="shared" si="1"/>
        <v>5898000</v>
      </c>
      <c r="U80" s="748"/>
      <c r="V80" s="748"/>
      <c r="W80" s="748"/>
      <c r="X80" s="748"/>
      <c r="Y80" s="749"/>
      <c r="Z80" s="747">
        <v>5894929</v>
      </c>
      <c r="AA80" s="748"/>
      <c r="AB80" s="748"/>
      <c r="AC80" s="748"/>
      <c r="AD80" s="748"/>
      <c r="AE80" s="748"/>
      <c r="AF80" s="748"/>
      <c r="AG80" s="749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Y80" s="79"/>
      <c r="AZ80" s="79"/>
    </row>
    <row r="81" spans="1:54" s="14" customFormat="1" ht="15.6" customHeight="1" x14ac:dyDescent="0.15">
      <c r="A81" s="16"/>
      <c r="B81" s="746" t="s">
        <v>145</v>
      </c>
      <c r="C81" s="746"/>
      <c r="D81" s="746"/>
      <c r="E81" s="746"/>
      <c r="F81" s="746"/>
      <c r="G81" s="746"/>
      <c r="H81" s="747">
        <v>5596000</v>
      </c>
      <c r="I81" s="748"/>
      <c r="J81" s="748"/>
      <c r="K81" s="748"/>
      <c r="L81" s="748"/>
      <c r="M81" s="749"/>
      <c r="N81" s="743">
        <v>448000</v>
      </c>
      <c r="O81" s="744"/>
      <c r="P81" s="744"/>
      <c r="Q81" s="744"/>
      <c r="R81" s="744"/>
      <c r="S81" s="745"/>
      <c r="T81" s="747">
        <f>SUM(H81:S81)</f>
        <v>6044000</v>
      </c>
      <c r="U81" s="748"/>
      <c r="V81" s="748"/>
      <c r="W81" s="748"/>
      <c r="X81" s="748"/>
      <c r="Y81" s="749"/>
      <c r="Z81" s="747">
        <v>6030198</v>
      </c>
      <c r="AA81" s="748"/>
      <c r="AB81" s="748"/>
      <c r="AC81" s="748"/>
      <c r="AD81" s="748"/>
      <c r="AE81" s="748"/>
      <c r="AF81" s="748"/>
      <c r="AG81" s="749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Y81" s="80"/>
      <c r="AZ81" s="80"/>
    </row>
    <row r="82" spans="1:54" s="14" customFormat="1" ht="15.6" customHeight="1" x14ac:dyDescent="0.15">
      <c r="A82" s="16"/>
      <c r="B82" s="746" t="s">
        <v>177</v>
      </c>
      <c r="C82" s="746"/>
      <c r="D82" s="746"/>
      <c r="E82" s="746"/>
      <c r="F82" s="746"/>
      <c r="G82" s="746"/>
      <c r="H82" s="747">
        <v>5894929</v>
      </c>
      <c r="I82" s="748"/>
      <c r="J82" s="748"/>
      <c r="K82" s="748"/>
      <c r="L82" s="748"/>
      <c r="M82" s="749"/>
      <c r="N82" s="892"/>
      <c r="O82" s="893"/>
      <c r="P82" s="893"/>
      <c r="Q82" s="893"/>
      <c r="R82" s="893"/>
      <c r="S82" s="894"/>
      <c r="T82" s="844"/>
      <c r="U82" s="845"/>
      <c r="V82" s="845"/>
      <c r="W82" s="845"/>
      <c r="X82" s="845"/>
      <c r="Y82" s="846"/>
      <c r="Z82" s="844"/>
      <c r="AA82" s="845"/>
      <c r="AB82" s="845"/>
      <c r="AC82" s="845"/>
      <c r="AD82" s="845"/>
      <c r="AE82" s="845"/>
      <c r="AF82" s="845"/>
      <c r="AG82" s="84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Y82" s="80"/>
      <c r="AZ82" s="80"/>
    </row>
    <row r="83" spans="1:54" s="3" customFormat="1" ht="15.6" customHeight="1" x14ac:dyDescent="0.15">
      <c r="A83" s="49"/>
      <c r="B83" s="362"/>
      <c r="C83" s="362"/>
      <c r="D83" s="362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Y83" s="79"/>
      <c r="AZ83" s="79"/>
    </row>
    <row r="84" spans="1:54" s="1" customFormat="1" ht="15.6" customHeight="1" x14ac:dyDescent="0.15">
      <c r="A84" s="49" t="s">
        <v>49</v>
      </c>
      <c r="B84" s="49"/>
      <c r="C84" s="49"/>
      <c r="D84" s="49"/>
      <c r="E84" s="49"/>
      <c r="F84" s="49"/>
      <c r="G84" s="49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54" t="s">
        <v>117</v>
      </c>
      <c r="AB84" s="49"/>
      <c r="AC84" s="49"/>
      <c r="AD84" s="49"/>
      <c r="AE84" s="49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Y84" s="335"/>
      <c r="AZ84" s="335"/>
    </row>
    <row r="85" spans="1:54" s="1" customFormat="1" ht="15.6" customHeight="1" x14ac:dyDescent="0.15">
      <c r="A85" s="49"/>
      <c r="B85" s="730" t="s">
        <v>78</v>
      </c>
      <c r="C85" s="730"/>
      <c r="D85" s="730"/>
      <c r="E85" s="730"/>
      <c r="F85" s="730"/>
      <c r="G85" s="751" t="s">
        <v>127</v>
      </c>
      <c r="H85" s="752"/>
      <c r="I85" s="752"/>
      <c r="J85" s="752"/>
      <c r="K85" s="753"/>
      <c r="L85" s="751" t="s">
        <v>138</v>
      </c>
      <c r="M85" s="752"/>
      <c r="N85" s="752"/>
      <c r="O85" s="752"/>
      <c r="P85" s="753"/>
      <c r="Q85" s="751" t="s">
        <v>132</v>
      </c>
      <c r="R85" s="752"/>
      <c r="S85" s="752"/>
      <c r="T85" s="752"/>
      <c r="U85" s="753"/>
      <c r="V85" s="754" t="s">
        <v>145</v>
      </c>
      <c r="W85" s="730"/>
      <c r="X85" s="730"/>
      <c r="Y85" s="730"/>
      <c r="Z85" s="730"/>
      <c r="AA85" s="754" t="s">
        <v>177</v>
      </c>
      <c r="AB85" s="730"/>
      <c r="AC85" s="730"/>
      <c r="AD85" s="730"/>
      <c r="AE85" s="730"/>
      <c r="AF85" s="16"/>
      <c r="AG85" s="16"/>
      <c r="AH85" s="16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Y85" s="335"/>
      <c r="AZ85" s="335"/>
    </row>
    <row r="86" spans="1:54" s="1" customFormat="1" ht="15.6" customHeight="1" x14ac:dyDescent="0.15">
      <c r="A86" s="49"/>
      <c r="B86" s="756" t="s">
        <v>77</v>
      </c>
      <c r="C86" s="756"/>
      <c r="D86" s="756"/>
      <c r="E86" s="756"/>
      <c r="F86" s="756"/>
      <c r="G86" s="757">
        <f>990+98</f>
        <v>1088</v>
      </c>
      <c r="H86" s="758"/>
      <c r="I86" s="758"/>
      <c r="J86" s="758"/>
      <c r="K86" s="759"/>
      <c r="L86" s="757">
        <v>1174</v>
      </c>
      <c r="M86" s="758"/>
      <c r="N86" s="758"/>
      <c r="O86" s="758"/>
      <c r="P86" s="759"/>
      <c r="Q86" s="757">
        <v>1207</v>
      </c>
      <c r="R86" s="758"/>
      <c r="S86" s="758"/>
      <c r="T86" s="758"/>
      <c r="U86" s="759"/>
      <c r="V86" s="763">
        <v>1103</v>
      </c>
      <c r="W86" s="763"/>
      <c r="X86" s="763"/>
      <c r="Y86" s="763"/>
      <c r="Z86" s="763"/>
      <c r="AA86" s="764">
        <f>77+122+80+81+103+93+102</f>
        <v>658</v>
      </c>
      <c r="AB86" s="764"/>
      <c r="AC86" s="764"/>
      <c r="AD86" s="764"/>
      <c r="AE86" s="764"/>
      <c r="AF86" s="16"/>
      <c r="AG86" s="16"/>
      <c r="AH86" s="16"/>
      <c r="AI86" s="755"/>
      <c r="AJ86" s="755"/>
      <c r="AK86" s="755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Y86" s="335"/>
      <c r="AZ86" s="335"/>
    </row>
    <row r="87" spans="1:54" s="1" customFormat="1" ht="15.6" customHeight="1" x14ac:dyDescent="0.15">
      <c r="A87" s="49"/>
      <c r="B87" s="756" t="s">
        <v>76</v>
      </c>
      <c r="C87" s="756"/>
      <c r="D87" s="756"/>
      <c r="E87" s="756"/>
      <c r="F87" s="756"/>
      <c r="G87" s="757">
        <v>91</v>
      </c>
      <c r="H87" s="758"/>
      <c r="I87" s="758"/>
      <c r="J87" s="758"/>
      <c r="K87" s="759"/>
      <c r="L87" s="757">
        <f>L86/12</f>
        <v>97.833333333333329</v>
      </c>
      <c r="M87" s="758"/>
      <c r="N87" s="758"/>
      <c r="O87" s="758"/>
      <c r="P87" s="759"/>
      <c r="Q87" s="757">
        <f>Q86/12</f>
        <v>100.58333333333333</v>
      </c>
      <c r="R87" s="758"/>
      <c r="S87" s="758"/>
      <c r="T87" s="758"/>
      <c r="U87" s="759"/>
      <c r="V87" s="757">
        <f>V86/12</f>
        <v>91.916666666666671</v>
      </c>
      <c r="W87" s="758"/>
      <c r="X87" s="758"/>
      <c r="Y87" s="758"/>
      <c r="Z87" s="759"/>
      <c r="AA87" s="760">
        <f>AA86/7</f>
        <v>94</v>
      </c>
      <c r="AB87" s="761"/>
      <c r="AC87" s="761"/>
      <c r="AD87" s="761"/>
      <c r="AE87" s="762"/>
      <c r="AF87" s="16"/>
      <c r="AG87" s="16"/>
      <c r="AH87" s="16"/>
      <c r="AI87" s="889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Y87" s="335"/>
      <c r="AZ87" s="335"/>
    </row>
    <row r="88" spans="1:54" s="1" customFormat="1" ht="15.6" customHeight="1" x14ac:dyDescent="0.15">
      <c r="A88" s="49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Y88" s="335"/>
      <c r="AZ88" s="335"/>
    </row>
    <row r="89" spans="1:54" s="1" customFormat="1" ht="15.6" customHeight="1" x14ac:dyDescent="0.15">
      <c r="A89" s="50" t="s">
        <v>63</v>
      </c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16"/>
      <c r="U89" s="16"/>
      <c r="V89" s="16"/>
      <c r="W89" s="16"/>
      <c r="X89" s="16"/>
      <c r="Y89" s="16"/>
      <c r="AA89" s="340" t="s">
        <v>117</v>
      </c>
      <c r="AB89" s="340"/>
      <c r="AC89" s="340"/>
      <c r="AD89" s="340"/>
      <c r="AE89" s="340"/>
      <c r="AF89" s="16"/>
      <c r="AG89" s="16"/>
      <c r="AH89" s="16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Y89" s="335"/>
      <c r="AZ89" s="335"/>
    </row>
    <row r="90" spans="1:54" s="1" customFormat="1" ht="15.6" customHeight="1" x14ac:dyDescent="0.15">
      <c r="A90" s="49"/>
      <c r="B90" s="765" t="s">
        <v>70</v>
      </c>
      <c r="C90" s="766"/>
      <c r="D90" s="767"/>
      <c r="E90" s="765" t="s">
        <v>50</v>
      </c>
      <c r="F90" s="766"/>
      <c r="G90" s="766"/>
      <c r="H90" s="766"/>
      <c r="I90" s="767"/>
      <c r="J90" s="751" t="s">
        <v>133</v>
      </c>
      <c r="K90" s="752"/>
      <c r="L90" s="752"/>
      <c r="M90" s="752"/>
      <c r="N90" s="752"/>
      <c r="O90" s="752"/>
      <c r="P90" s="752"/>
      <c r="Q90" s="753"/>
      <c r="R90" s="751" t="s">
        <v>146</v>
      </c>
      <c r="S90" s="752"/>
      <c r="T90" s="752"/>
      <c r="U90" s="752"/>
      <c r="V90" s="752"/>
      <c r="W90" s="752"/>
      <c r="X90" s="752"/>
      <c r="Y90" s="753"/>
      <c r="Z90" s="751" t="s">
        <v>178</v>
      </c>
      <c r="AA90" s="752"/>
      <c r="AB90" s="752"/>
      <c r="AC90" s="752"/>
      <c r="AD90" s="752"/>
      <c r="AE90" s="752"/>
      <c r="AF90" s="752"/>
      <c r="AG90" s="753"/>
      <c r="AH90" s="16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Y90" s="335"/>
      <c r="AZ90" s="335"/>
    </row>
    <row r="91" spans="1:54" s="1" customFormat="1" ht="15.6" customHeight="1" x14ac:dyDescent="0.15">
      <c r="A91" s="49"/>
      <c r="B91" s="785"/>
      <c r="C91" s="786"/>
      <c r="D91" s="787"/>
      <c r="E91" s="785"/>
      <c r="F91" s="786"/>
      <c r="G91" s="786"/>
      <c r="H91" s="786"/>
      <c r="I91" s="787"/>
      <c r="J91" s="788" t="s">
        <v>51</v>
      </c>
      <c r="K91" s="788"/>
      <c r="L91" s="788"/>
      <c r="M91" s="788"/>
      <c r="N91" s="765" t="s">
        <v>30</v>
      </c>
      <c r="O91" s="766"/>
      <c r="P91" s="766"/>
      <c r="Q91" s="767"/>
      <c r="R91" s="788" t="s">
        <v>51</v>
      </c>
      <c r="S91" s="788"/>
      <c r="T91" s="788"/>
      <c r="U91" s="788"/>
      <c r="V91" s="765" t="s">
        <v>30</v>
      </c>
      <c r="W91" s="766"/>
      <c r="X91" s="766"/>
      <c r="Y91" s="767"/>
      <c r="Z91" s="788" t="s">
        <v>51</v>
      </c>
      <c r="AA91" s="788"/>
      <c r="AB91" s="788"/>
      <c r="AC91" s="788"/>
      <c r="AD91" s="765" t="s">
        <v>30</v>
      </c>
      <c r="AE91" s="766"/>
      <c r="AF91" s="766"/>
      <c r="AG91" s="767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Y91" s="335"/>
      <c r="AZ91" s="335"/>
    </row>
    <row r="92" spans="1:54" s="1" customFormat="1" ht="15.6" customHeight="1" x14ac:dyDescent="0.15">
      <c r="A92" s="52"/>
      <c r="B92" s="768" t="s">
        <v>74</v>
      </c>
      <c r="C92" s="769"/>
      <c r="D92" s="770"/>
      <c r="E92" s="777" t="s">
        <v>52</v>
      </c>
      <c r="F92" s="777"/>
      <c r="G92" s="777"/>
      <c r="H92" s="777"/>
      <c r="I92" s="777"/>
      <c r="J92" s="778">
        <v>193</v>
      </c>
      <c r="K92" s="778"/>
      <c r="L92" s="778"/>
      <c r="M92" s="778"/>
      <c r="N92" s="779">
        <f>J92/SUM(J92:M96)</f>
        <v>0.15990057995028997</v>
      </c>
      <c r="O92" s="779"/>
      <c r="P92" s="779"/>
      <c r="Q92" s="779"/>
      <c r="R92" s="780">
        <v>206</v>
      </c>
      <c r="S92" s="778"/>
      <c r="T92" s="778"/>
      <c r="U92" s="778"/>
      <c r="V92" s="779">
        <f>R92/V86</f>
        <v>0.18676337262012693</v>
      </c>
      <c r="W92" s="779"/>
      <c r="X92" s="779"/>
      <c r="Y92" s="779"/>
      <c r="Z92" s="781">
        <f>13+27+18+18+18+12+14</f>
        <v>120</v>
      </c>
      <c r="AA92" s="782"/>
      <c r="AB92" s="782"/>
      <c r="AC92" s="782"/>
      <c r="AD92" s="823">
        <f>Z92/AA86</f>
        <v>0.18237082066869301</v>
      </c>
      <c r="AE92" s="823"/>
      <c r="AF92" s="823"/>
      <c r="AG92" s="823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Y92" s="789"/>
      <c r="AZ92" s="789"/>
    </row>
    <row r="93" spans="1:54" s="1" customFormat="1" ht="15.6" customHeight="1" x14ac:dyDescent="0.15">
      <c r="A93" s="52"/>
      <c r="B93" s="771"/>
      <c r="C93" s="772"/>
      <c r="D93" s="773"/>
      <c r="E93" s="784" t="s">
        <v>53</v>
      </c>
      <c r="F93" s="784"/>
      <c r="G93" s="784"/>
      <c r="H93" s="784"/>
      <c r="I93" s="784"/>
      <c r="J93" s="790">
        <v>600</v>
      </c>
      <c r="K93" s="790"/>
      <c r="L93" s="790"/>
      <c r="M93" s="790"/>
      <c r="N93" s="791">
        <f>J93/SUM(J92:M96)</f>
        <v>0.4971002485501243</v>
      </c>
      <c r="O93" s="791"/>
      <c r="P93" s="791"/>
      <c r="Q93" s="791"/>
      <c r="R93" s="792">
        <v>391</v>
      </c>
      <c r="S93" s="790"/>
      <c r="T93" s="790"/>
      <c r="U93" s="790"/>
      <c r="V93" s="793">
        <f>R93/V86</f>
        <v>0.35448776065276516</v>
      </c>
      <c r="W93" s="794"/>
      <c r="X93" s="794"/>
      <c r="Y93" s="795"/>
      <c r="Z93" s="796">
        <f>42+50+26+32+39+40+51</f>
        <v>280</v>
      </c>
      <c r="AA93" s="797"/>
      <c r="AB93" s="797"/>
      <c r="AC93" s="797"/>
      <c r="AD93" s="783">
        <f>Z93/AA86</f>
        <v>0.42553191489361702</v>
      </c>
      <c r="AE93" s="783"/>
      <c r="AF93" s="783"/>
      <c r="AG93" s="783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Y93" s="789"/>
      <c r="AZ93" s="789"/>
    </row>
    <row r="94" spans="1:54" s="1" customFormat="1" ht="15.6" customHeight="1" x14ac:dyDescent="0.15">
      <c r="A94" s="52"/>
      <c r="B94" s="771"/>
      <c r="C94" s="772"/>
      <c r="D94" s="773"/>
      <c r="E94" s="784" t="s">
        <v>54</v>
      </c>
      <c r="F94" s="784"/>
      <c r="G94" s="784"/>
      <c r="H94" s="784"/>
      <c r="I94" s="784"/>
      <c r="J94" s="790">
        <v>20</v>
      </c>
      <c r="K94" s="790"/>
      <c r="L94" s="790"/>
      <c r="M94" s="790"/>
      <c r="N94" s="791">
        <f>J94/SUM(J92:M96)</f>
        <v>1.6570008285004142E-2</v>
      </c>
      <c r="O94" s="791"/>
      <c r="P94" s="791"/>
      <c r="Q94" s="791"/>
      <c r="R94" s="792">
        <v>15</v>
      </c>
      <c r="S94" s="790"/>
      <c r="T94" s="790"/>
      <c r="U94" s="790"/>
      <c r="V94" s="793">
        <f>R94/V86</f>
        <v>1.3599274705349048E-2</v>
      </c>
      <c r="W94" s="794"/>
      <c r="X94" s="794"/>
      <c r="Y94" s="795"/>
      <c r="Z94" s="796">
        <f>2+0+4+0+0+0+1</f>
        <v>7</v>
      </c>
      <c r="AA94" s="797"/>
      <c r="AB94" s="797"/>
      <c r="AC94" s="797"/>
      <c r="AD94" s="783">
        <f>Z94/AA86</f>
        <v>1.0638297872340425E-2</v>
      </c>
      <c r="AE94" s="783"/>
      <c r="AF94" s="783"/>
      <c r="AG94" s="783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Y94" s="789"/>
      <c r="AZ94" s="789"/>
    </row>
    <row r="95" spans="1:54" s="1" customFormat="1" ht="15.6" customHeight="1" x14ac:dyDescent="0.15">
      <c r="A95" s="52"/>
      <c r="B95" s="771"/>
      <c r="C95" s="772"/>
      <c r="D95" s="773"/>
      <c r="E95" s="798" t="s">
        <v>55</v>
      </c>
      <c r="F95" s="798"/>
      <c r="G95" s="798"/>
      <c r="H95" s="798"/>
      <c r="I95" s="798"/>
      <c r="J95" s="790">
        <v>0</v>
      </c>
      <c r="K95" s="790"/>
      <c r="L95" s="790"/>
      <c r="M95" s="790"/>
      <c r="N95" s="791">
        <f>J95/SUM(J92:M96)</f>
        <v>0</v>
      </c>
      <c r="O95" s="791"/>
      <c r="P95" s="791"/>
      <c r="Q95" s="791"/>
      <c r="R95" s="792">
        <v>0</v>
      </c>
      <c r="S95" s="790"/>
      <c r="T95" s="790"/>
      <c r="U95" s="790"/>
      <c r="V95" s="793">
        <v>0</v>
      </c>
      <c r="W95" s="794"/>
      <c r="X95" s="794"/>
      <c r="Y95" s="795"/>
      <c r="Z95" s="796">
        <f>0+0+0+0+0+0+0</f>
        <v>0</v>
      </c>
      <c r="AA95" s="797"/>
      <c r="AB95" s="797"/>
      <c r="AC95" s="797"/>
      <c r="AD95" s="783">
        <v>0</v>
      </c>
      <c r="AE95" s="783"/>
      <c r="AF95" s="783"/>
      <c r="AG95" s="783"/>
      <c r="AH95" s="13"/>
      <c r="AI95" s="16"/>
      <c r="AJ95" s="16"/>
      <c r="AK95" s="799"/>
      <c r="AL95" s="799"/>
      <c r="AM95" s="799"/>
      <c r="AN95" s="13"/>
      <c r="AO95" s="13"/>
      <c r="AP95" s="72"/>
      <c r="AQ95" s="72"/>
      <c r="AR95" s="72"/>
      <c r="AS95" s="72"/>
      <c r="AT95" s="72"/>
      <c r="AU95" s="72"/>
      <c r="AV95" s="73"/>
      <c r="AW95" s="73"/>
      <c r="AX95" s="73"/>
      <c r="AY95" s="789"/>
      <c r="AZ95" s="789"/>
      <c r="BA95" s="73"/>
    </row>
    <row r="96" spans="1:54" s="1" customFormat="1" ht="15.6" customHeight="1" x14ac:dyDescent="0.15">
      <c r="A96" s="52"/>
      <c r="B96" s="774"/>
      <c r="C96" s="775"/>
      <c r="D96" s="776"/>
      <c r="E96" s="805" t="s">
        <v>56</v>
      </c>
      <c r="F96" s="805"/>
      <c r="G96" s="805"/>
      <c r="H96" s="805"/>
      <c r="I96" s="805"/>
      <c r="J96" s="806">
        <v>394</v>
      </c>
      <c r="K96" s="806"/>
      <c r="L96" s="806"/>
      <c r="M96" s="806"/>
      <c r="N96" s="807">
        <v>0.32600000000000001</v>
      </c>
      <c r="O96" s="807"/>
      <c r="P96" s="807"/>
      <c r="Q96" s="807"/>
      <c r="R96" s="808">
        <v>491</v>
      </c>
      <c r="S96" s="806"/>
      <c r="T96" s="806"/>
      <c r="U96" s="806"/>
      <c r="V96" s="809">
        <f>R96/V86</f>
        <v>0.44514959202175886</v>
      </c>
      <c r="W96" s="810"/>
      <c r="X96" s="810"/>
      <c r="Y96" s="811"/>
      <c r="Z96" s="812">
        <f>20+45+32+31+46+41+36</f>
        <v>251</v>
      </c>
      <c r="AA96" s="813"/>
      <c r="AB96" s="813"/>
      <c r="AC96" s="813"/>
      <c r="AD96" s="783">
        <f>Z96/AA86</f>
        <v>0.38145896656534956</v>
      </c>
      <c r="AE96" s="783"/>
      <c r="AF96" s="783"/>
      <c r="AG96" s="783"/>
      <c r="AH96" s="13"/>
      <c r="AI96" s="13"/>
      <c r="AJ96" s="800"/>
      <c r="AK96" s="800"/>
      <c r="AL96" s="800"/>
      <c r="AM96" s="13"/>
      <c r="AN96" s="13"/>
      <c r="AO96" s="13"/>
      <c r="AP96" s="13"/>
      <c r="AQ96" s="13"/>
      <c r="AR96" s="13"/>
      <c r="AS96" s="13"/>
      <c r="AT96" s="13"/>
      <c r="AU96" s="13"/>
      <c r="AY96" s="789"/>
      <c r="AZ96" s="789"/>
      <c r="BA96" s="801"/>
      <c r="BB96" s="801"/>
    </row>
    <row r="97" spans="1:54" s="1" customFormat="1" ht="15.6" customHeight="1" x14ac:dyDescent="0.15">
      <c r="A97" s="52"/>
      <c r="B97" s="768" t="s">
        <v>75</v>
      </c>
      <c r="C97" s="769"/>
      <c r="D97" s="770"/>
      <c r="E97" s="777" t="s">
        <v>57</v>
      </c>
      <c r="F97" s="777"/>
      <c r="G97" s="777"/>
      <c r="H97" s="777"/>
      <c r="I97" s="777"/>
      <c r="J97" s="778">
        <v>113</v>
      </c>
      <c r="K97" s="778"/>
      <c r="L97" s="778"/>
      <c r="M97" s="778"/>
      <c r="N97" s="779">
        <f>J97/SUM(J97:M100)</f>
        <v>9.3620546810273403E-2</v>
      </c>
      <c r="O97" s="779"/>
      <c r="P97" s="779"/>
      <c r="Q97" s="779"/>
      <c r="R97" s="778">
        <v>86</v>
      </c>
      <c r="S97" s="778"/>
      <c r="T97" s="778"/>
      <c r="U97" s="778"/>
      <c r="V97" s="802">
        <f>R97/SUM(R97:U100)</f>
        <v>7.7969174977334549E-2</v>
      </c>
      <c r="W97" s="803"/>
      <c r="X97" s="803"/>
      <c r="Y97" s="804"/>
      <c r="Z97" s="782">
        <f>3+16+6+5+31+7+5</f>
        <v>73</v>
      </c>
      <c r="AA97" s="782"/>
      <c r="AB97" s="782"/>
      <c r="AC97" s="782"/>
      <c r="AD97" s="814">
        <f>Z97/AA86</f>
        <v>0.11094224924012158</v>
      </c>
      <c r="AE97" s="814"/>
      <c r="AF97" s="814"/>
      <c r="AG97" s="814"/>
      <c r="AH97" s="13"/>
      <c r="AI97" s="13"/>
      <c r="AJ97" s="13"/>
      <c r="AK97" s="799"/>
      <c r="AL97" s="799"/>
      <c r="AM97" s="799"/>
      <c r="AN97" s="13"/>
      <c r="AO97" s="13"/>
      <c r="AP97" s="13"/>
      <c r="AQ97" s="13"/>
      <c r="AR97" s="13"/>
      <c r="AS97" s="13"/>
      <c r="AT97" s="13"/>
      <c r="AU97" s="13"/>
      <c r="AY97" s="789"/>
      <c r="AZ97" s="789"/>
    </row>
    <row r="98" spans="1:54" s="1" customFormat="1" ht="15.6" customHeight="1" x14ac:dyDescent="0.15">
      <c r="A98" s="52"/>
      <c r="B98" s="771"/>
      <c r="C98" s="772"/>
      <c r="D98" s="773"/>
      <c r="E98" s="784" t="s">
        <v>58</v>
      </c>
      <c r="F98" s="784"/>
      <c r="G98" s="784"/>
      <c r="H98" s="784"/>
      <c r="I98" s="784"/>
      <c r="J98" s="790">
        <v>62</v>
      </c>
      <c r="K98" s="790"/>
      <c r="L98" s="790"/>
      <c r="M98" s="790"/>
      <c r="N98" s="791">
        <f>J98/SUM(J97:M100)</f>
        <v>5.136702568351284E-2</v>
      </c>
      <c r="O98" s="791"/>
      <c r="P98" s="791"/>
      <c r="Q98" s="791"/>
      <c r="R98" s="790">
        <v>57</v>
      </c>
      <c r="S98" s="790"/>
      <c r="T98" s="790"/>
      <c r="U98" s="790"/>
      <c r="V98" s="793">
        <f>R98/SUM(R97:U100)</f>
        <v>5.1677243880326386E-2</v>
      </c>
      <c r="W98" s="794"/>
      <c r="X98" s="794"/>
      <c r="Y98" s="795"/>
      <c r="Z98" s="797">
        <f>2+2+7+5+4+2+5</f>
        <v>27</v>
      </c>
      <c r="AA98" s="797"/>
      <c r="AB98" s="797"/>
      <c r="AC98" s="797"/>
      <c r="AD98" s="783">
        <f>Z98/AA86</f>
        <v>4.1033434650455926E-2</v>
      </c>
      <c r="AE98" s="783"/>
      <c r="AF98" s="783"/>
      <c r="AG98" s="78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Y98" s="789"/>
      <c r="AZ98" s="789"/>
    </row>
    <row r="99" spans="1:54" s="3" customFormat="1" ht="15.6" customHeight="1" x14ac:dyDescent="0.15">
      <c r="A99" s="52"/>
      <c r="B99" s="771"/>
      <c r="C99" s="772"/>
      <c r="D99" s="773"/>
      <c r="E99" s="784" t="s">
        <v>59</v>
      </c>
      <c r="F99" s="784"/>
      <c r="G99" s="784"/>
      <c r="H99" s="784"/>
      <c r="I99" s="784"/>
      <c r="J99" s="790">
        <v>341</v>
      </c>
      <c r="K99" s="790"/>
      <c r="L99" s="790"/>
      <c r="M99" s="790"/>
      <c r="N99" s="791">
        <f>J99/SUM(J97:M100)</f>
        <v>0.28251864125932064</v>
      </c>
      <c r="O99" s="791"/>
      <c r="P99" s="791"/>
      <c r="Q99" s="791"/>
      <c r="R99" s="790">
        <v>361</v>
      </c>
      <c r="S99" s="790"/>
      <c r="T99" s="790"/>
      <c r="U99" s="790"/>
      <c r="V99" s="793">
        <f>R99/SUM(R97:U100)</f>
        <v>0.32728921124206711</v>
      </c>
      <c r="W99" s="794"/>
      <c r="X99" s="794"/>
      <c r="Y99" s="795"/>
      <c r="Z99" s="797">
        <f>21+36+30+21+9+34+20</f>
        <v>171</v>
      </c>
      <c r="AA99" s="797"/>
      <c r="AB99" s="797"/>
      <c r="AC99" s="797"/>
      <c r="AD99" s="783">
        <f>Z99/AA86</f>
        <v>0.25987841945288753</v>
      </c>
      <c r="AE99" s="783"/>
      <c r="AF99" s="783"/>
      <c r="AG99" s="78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4"/>
      <c r="AS99" s="14"/>
      <c r="AT99" s="14"/>
      <c r="AU99" s="14"/>
      <c r="AY99" s="789"/>
      <c r="AZ99" s="789"/>
    </row>
    <row r="100" spans="1:54" s="3" customFormat="1" ht="15.6" customHeight="1" x14ac:dyDescent="0.15">
      <c r="A100" s="52"/>
      <c r="B100" s="774"/>
      <c r="C100" s="775"/>
      <c r="D100" s="776"/>
      <c r="E100" s="805" t="s">
        <v>56</v>
      </c>
      <c r="F100" s="805"/>
      <c r="G100" s="805"/>
      <c r="H100" s="805"/>
      <c r="I100" s="805"/>
      <c r="J100" s="806">
        <v>691</v>
      </c>
      <c r="K100" s="806"/>
      <c r="L100" s="806"/>
      <c r="M100" s="806"/>
      <c r="N100" s="807">
        <f>J100/SUM(J97:M100)</f>
        <v>0.57249378624689318</v>
      </c>
      <c r="O100" s="807"/>
      <c r="P100" s="807"/>
      <c r="Q100" s="807"/>
      <c r="R100" s="806">
        <v>599</v>
      </c>
      <c r="S100" s="806"/>
      <c r="T100" s="806"/>
      <c r="U100" s="806"/>
      <c r="V100" s="809">
        <f>R100/SUM(R97:U100)</f>
        <v>0.54306436990027196</v>
      </c>
      <c r="W100" s="810"/>
      <c r="X100" s="810"/>
      <c r="Y100" s="811"/>
      <c r="Z100" s="813">
        <f>51+68+37+50+59+50+72</f>
        <v>387</v>
      </c>
      <c r="AA100" s="813"/>
      <c r="AB100" s="813"/>
      <c r="AC100" s="813"/>
      <c r="AD100" s="817">
        <f>Z100/AA86</f>
        <v>0.58814589665653494</v>
      </c>
      <c r="AE100" s="817"/>
      <c r="AF100" s="817"/>
      <c r="AG100" s="817"/>
      <c r="AH100" s="13"/>
      <c r="AI100" s="13"/>
      <c r="AJ100" s="800"/>
      <c r="AK100" s="800"/>
      <c r="AL100" s="800"/>
      <c r="AM100" s="83"/>
      <c r="AN100" s="13"/>
      <c r="AO100" s="13"/>
      <c r="AP100" s="13"/>
      <c r="AQ100" s="13"/>
      <c r="AR100" s="14"/>
      <c r="AS100" s="14"/>
      <c r="AT100" s="14"/>
      <c r="AU100" s="14"/>
      <c r="AY100" s="789"/>
      <c r="AZ100" s="789"/>
      <c r="BA100" s="789"/>
      <c r="BB100" s="789"/>
    </row>
    <row r="101" spans="1:54" s="3" customFormat="1" ht="15.6" customHeight="1" x14ac:dyDescent="0.15">
      <c r="A101" s="55"/>
      <c r="Y101" s="2"/>
      <c r="Z101" s="2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4"/>
      <c r="AS101" s="14"/>
      <c r="AT101" s="14"/>
      <c r="AU101" s="14"/>
      <c r="AY101" s="79"/>
      <c r="AZ101" s="79"/>
    </row>
    <row r="102" spans="1:54" s="3" customFormat="1" ht="15.6" customHeight="1" x14ac:dyDescent="0.15">
      <c r="A102" s="55" t="s">
        <v>1</v>
      </c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AG102" s="4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4"/>
      <c r="AS102" s="14"/>
      <c r="AT102" s="14"/>
      <c r="AU102" s="14"/>
      <c r="AY102" s="79"/>
      <c r="AZ102" s="79"/>
    </row>
    <row r="103" spans="1:54" s="3" customFormat="1" ht="15.6" customHeight="1" x14ac:dyDescent="0.15">
      <c r="A103" s="50" t="s">
        <v>176</v>
      </c>
      <c r="AG103" s="4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4"/>
      <c r="AS103" s="14"/>
      <c r="AT103" s="14"/>
      <c r="AU103" s="14"/>
      <c r="AY103" s="79"/>
      <c r="AZ103" s="79"/>
    </row>
    <row r="104" spans="1:54" s="3" customFormat="1" ht="15.6" customHeight="1" x14ac:dyDescent="0.15">
      <c r="A104" s="55"/>
      <c r="B104" s="595" t="s">
        <v>14</v>
      </c>
      <c r="C104" s="595"/>
      <c r="D104" s="595" t="s">
        <v>15</v>
      </c>
      <c r="E104" s="595"/>
      <c r="F104" s="595"/>
      <c r="G104" s="595"/>
      <c r="H104" s="595"/>
      <c r="I104" s="595" t="s">
        <v>16</v>
      </c>
      <c r="J104" s="595"/>
      <c r="K104" s="595"/>
      <c r="L104" s="595"/>
      <c r="M104" s="595"/>
      <c r="N104" s="595" t="s">
        <v>17</v>
      </c>
      <c r="O104" s="595"/>
      <c r="P104" s="595"/>
      <c r="Q104" s="595"/>
      <c r="R104" s="595"/>
      <c r="S104" s="595" t="s">
        <v>18</v>
      </c>
      <c r="T104" s="595"/>
      <c r="U104" s="595"/>
      <c r="V104" s="595"/>
      <c r="W104" s="595"/>
      <c r="X104" s="595" t="s">
        <v>19</v>
      </c>
      <c r="Y104" s="595"/>
      <c r="Z104" s="595"/>
      <c r="AA104" s="595"/>
      <c r="AB104" s="595"/>
      <c r="AC104" s="595" t="s">
        <v>20</v>
      </c>
      <c r="AD104" s="595"/>
      <c r="AE104" s="595"/>
      <c r="AF104" s="595"/>
      <c r="AG104" s="7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Y104" s="79"/>
      <c r="AZ104" s="79"/>
    </row>
    <row r="105" spans="1:54" ht="15.6" customHeight="1" x14ac:dyDescent="0.15">
      <c r="A105" s="52"/>
      <c r="B105" s="815" t="s">
        <v>9</v>
      </c>
      <c r="C105" s="815"/>
      <c r="D105" s="816">
        <v>46</v>
      </c>
      <c r="E105" s="816"/>
      <c r="F105" s="816"/>
      <c r="G105" s="816"/>
      <c r="H105" s="816"/>
      <c r="I105" s="816">
        <v>2</v>
      </c>
      <c r="J105" s="816"/>
      <c r="K105" s="816"/>
      <c r="L105" s="816"/>
      <c r="M105" s="816"/>
      <c r="N105" s="816">
        <v>0</v>
      </c>
      <c r="O105" s="816"/>
      <c r="P105" s="816"/>
      <c r="Q105" s="816"/>
      <c r="R105" s="816"/>
      <c r="S105" s="816">
        <v>43</v>
      </c>
      <c r="T105" s="816"/>
      <c r="U105" s="816"/>
      <c r="V105" s="816"/>
      <c r="W105" s="816"/>
      <c r="X105" s="816">
        <v>19</v>
      </c>
      <c r="Y105" s="816"/>
      <c r="Z105" s="816"/>
      <c r="AA105" s="816"/>
      <c r="AB105" s="816"/>
      <c r="AC105" s="816">
        <f>S105-X105</f>
        <v>24</v>
      </c>
      <c r="AD105" s="816"/>
      <c r="AE105" s="816"/>
      <c r="AF105" s="816"/>
    </row>
    <row r="106" spans="1:54" ht="15.6" customHeight="1" x14ac:dyDescent="0.15">
      <c r="A106" s="50" t="s">
        <v>208</v>
      </c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</row>
    <row r="107" spans="1:54" ht="15.6" customHeight="1" x14ac:dyDescent="0.15">
      <c r="A107" s="55"/>
      <c r="B107" s="595" t="s">
        <v>14</v>
      </c>
      <c r="C107" s="595"/>
      <c r="D107" s="595" t="s">
        <v>15</v>
      </c>
      <c r="E107" s="595"/>
      <c r="F107" s="595"/>
      <c r="G107" s="595"/>
      <c r="H107" s="595"/>
      <c r="I107" s="595" t="s">
        <v>16</v>
      </c>
      <c r="J107" s="595"/>
      <c r="K107" s="595"/>
      <c r="L107" s="595"/>
      <c r="M107" s="595"/>
      <c r="N107" s="595" t="s">
        <v>17</v>
      </c>
      <c r="O107" s="595"/>
      <c r="P107" s="595"/>
      <c r="Q107" s="595"/>
      <c r="R107" s="595"/>
      <c r="S107" s="595" t="s">
        <v>18</v>
      </c>
      <c r="T107" s="595"/>
      <c r="U107" s="595"/>
      <c r="V107" s="595"/>
      <c r="W107" s="595"/>
      <c r="X107" s="595" t="s">
        <v>19</v>
      </c>
      <c r="Y107" s="595"/>
      <c r="Z107" s="595"/>
      <c r="AA107" s="595"/>
      <c r="AB107" s="595"/>
      <c r="AC107" s="595" t="s">
        <v>20</v>
      </c>
      <c r="AD107" s="595"/>
      <c r="AE107" s="595"/>
      <c r="AF107" s="595"/>
    </row>
    <row r="108" spans="1:54" s="7" customFormat="1" ht="15.6" customHeight="1" x14ac:dyDescent="0.15">
      <c r="A108" s="13"/>
      <c r="B108" s="827" t="s">
        <v>9</v>
      </c>
      <c r="C108" s="827"/>
      <c r="D108" s="750">
        <f>1+4+5+1+5+5+6</f>
        <v>27</v>
      </c>
      <c r="E108" s="750"/>
      <c r="F108" s="750"/>
      <c r="G108" s="750"/>
      <c r="H108" s="750"/>
      <c r="I108" s="750">
        <f>0+0+1+0+0+0+1</f>
        <v>2</v>
      </c>
      <c r="J108" s="750"/>
      <c r="K108" s="750"/>
      <c r="L108" s="750"/>
      <c r="M108" s="750"/>
      <c r="N108" s="750">
        <f>0+0+0+0+2+0+3</f>
        <v>5</v>
      </c>
      <c r="O108" s="750"/>
      <c r="P108" s="750"/>
      <c r="Q108" s="750"/>
      <c r="R108" s="750"/>
      <c r="S108" s="750">
        <f>3+3+0+3+3+2+4</f>
        <v>18</v>
      </c>
      <c r="T108" s="750"/>
      <c r="U108" s="750"/>
      <c r="V108" s="750"/>
      <c r="W108" s="750"/>
      <c r="X108" s="750">
        <f>0+6+1+2+1+2+4</f>
        <v>16</v>
      </c>
      <c r="Y108" s="750"/>
      <c r="Z108" s="750"/>
      <c r="AA108" s="750"/>
      <c r="AB108" s="750"/>
      <c r="AC108" s="750">
        <f>S108-X108</f>
        <v>2</v>
      </c>
      <c r="AD108" s="750"/>
      <c r="AE108" s="750"/>
      <c r="AF108" s="750"/>
      <c r="AY108" s="80"/>
      <c r="AZ108" s="80"/>
    </row>
    <row r="110" spans="1:54" ht="15.6" customHeight="1" x14ac:dyDescent="0.15">
      <c r="I110" s="820"/>
      <c r="J110" s="819"/>
      <c r="K110" s="819"/>
      <c r="L110" s="819"/>
      <c r="S110" s="820"/>
      <c r="T110" s="819"/>
      <c r="U110" s="819"/>
      <c r="V110" s="819"/>
      <c r="Z110" s="820"/>
      <c r="AA110" s="819"/>
      <c r="AB110" s="819"/>
      <c r="AC110" s="819"/>
    </row>
    <row r="111" spans="1:54" ht="15.6" customHeight="1" x14ac:dyDescent="0.15">
      <c r="D111" s="19"/>
      <c r="I111" s="819"/>
      <c r="J111" s="819"/>
      <c r="K111" s="819"/>
      <c r="L111" s="819"/>
      <c r="M111" s="819"/>
      <c r="N111" s="821"/>
      <c r="O111" s="821"/>
      <c r="P111" s="821"/>
      <c r="Q111" s="821"/>
      <c r="R111" s="819"/>
      <c r="S111" s="819"/>
      <c r="T111" s="819"/>
      <c r="U111" s="819"/>
      <c r="Z111" s="819"/>
      <c r="AA111" s="819"/>
      <c r="AB111" s="819"/>
      <c r="AC111" s="819"/>
    </row>
    <row r="112" spans="1:54" ht="15.6" customHeight="1" x14ac:dyDescent="0.15">
      <c r="I112" s="819"/>
      <c r="J112" s="819"/>
      <c r="K112" s="819"/>
      <c r="L112" s="819"/>
      <c r="M112" s="819"/>
      <c r="N112" s="819"/>
      <c r="O112" s="819"/>
      <c r="P112" s="819"/>
      <c r="Q112" s="819"/>
      <c r="R112" s="819"/>
      <c r="S112" s="819"/>
      <c r="T112" s="819"/>
      <c r="U112" s="819"/>
      <c r="Z112" s="819"/>
      <c r="AA112" s="819"/>
      <c r="AB112" s="819"/>
      <c r="AC112" s="819"/>
    </row>
    <row r="113" spans="4:29" ht="15.6" customHeight="1" x14ac:dyDescent="0.15">
      <c r="D113" s="19"/>
      <c r="I113" s="819"/>
      <c r="J113" s="819"/>
      <c r="K113" s="819"/>
      <c r="L113" s="819"/>
      <c r="M113" s="819"/>
      <c r="N113" s="819"/>
      <c r="O113" s="819"/>
      <c r="P113" s="819"/>
      <c r="Q113" s="819"/>
      <c r="R113" s="819"/>
      <c r="S113" s="819"/>
      <c r="T113" s="819"/>
      <c r="U113" s="819"/>
      <c r="Z113" s="819"/>
      <c r="AA113" s="819"/>
      <c r="AB113" s="819"/>
      <c r="AC113" s="819"/>
    </row>
  </sheetData>
  <mergeCells count="482">
    <mergeCell ref="AC107:AF107"/>
    <mergeCell ref="B108:C108"/>
    <mergeCell ref="D108:H108"/>
    <mergeCell ref="I108:M108"/>
    <mergeCell ref="N108:R108"/>
    <mergeCell ref="S108:W108"/>
    <mergeCell ref="X108:AB108"/>
    <mergeCell ref="AC108:AF108"/>
    <mergeCell ref="B107:C107"/>
    <mergeCell ref="D107:H107"/>
    <mergeCell ref="I107:M107"/>
    <mergeCell ref="N107:R107"/>
    <mergeCell ref="S107:W107"/>
    <mergeCell ref="X107:AB107"/>
    <mergeCell ref="I113:M113"/>
    <mergeCell ref="N113:Q113"/>
    <mergeCell ref="R113:U113"/>
    <mergeCell ref="Z113:AC113"/>
    <mergeCell ref="I110:L110"/>
    <mergeCell ref="S110:V110"/>
    <mergeCell ref="Z110:AC110"/>
    <mergeCell ref="I111:M111"/>
    <mergeCell ref="N111:Q111"/>
    <mergeCell ref="R111:U111"/>
    <mergeCell ref="Z111:AC111"/>
    <mergeCell ref="I112:M112"/>
    <mergeCell ref="N112:Q112"/>
    <mergeCell ref="R112:U112"/>
    <mergeCell ref="Z112:AC112"/>
    <mergeCell ref="B105:C105"/>
    <mergeCell ref="D105:H105"/>
    <mergeCell ref="I105:M105"/>
    <mergeCell ref="N105:R105"/>
    <mergeCell ref="S105:W105"/>
    <mergeCell ref="X105:AB105"/>
    <mergeCell ref="AC105:AF105"/>
    <mergeCell ref="AD100:AG100"/>
    <mergeCell ref="AJ100:AL100"/>
    <mergeCell ref="AC104:AF104"/>
    <mergeCell ref="AY100:AZ100"/>
    <mergeCell ref="BA100:BB100"/>
    <mergeCell ref="B104:C104"/>
    <mergeCell ref="D104:H104"/>
    <mergeCell ref="I104:M104"/>
    <mergeCell ref="N104:R104"/>
    <mergeCell ref="S104:W104"/>
    <mergeCell ref="X104:AB104"/>
    <mergeCell ref="E100:I100"/>
    <mergeCell ref="J100:M100"/>
    <mergeCell ref="N100:Q100"/>
    <mergeCell ref="R100:U100"/>
    <mergeCell ref="V100:Y100"/>
    <mergeCell ref="Z100:AC100"/>
    <mergeCell ref="Z98:AC98"/>
    <mergeCell ref="AD98:AG98"/>
    <mergeCell ref="AY98:AZ98"/>
    <mergeCell ref="E99:I99"/>
    <mergeCell ref="J99:M99"/>
    <mergeCell ref="N99:Q99"/>
    <mergeCell ref="R99:U99"/>
    <mergeCell ref="V99:Y99"/>
    <mergeCell ref="Z99:AC99"/>
    <mergeCell ref="AD99:AG99"/>
    <mergeCell ref="AY99:AZ99"/>
    <mergeCell ref="AJ96:AL96"/>
    <mergeCell ref="AY96:AZ96"/>
    <mergeCell ref="BA96:BB96"/>
    <mergeCell ref="B97:D100"/>
    <mergeCell ref="E97:I97"/>
    <mergeCell ref="J97:M97"/>
    <mergeCell ref="N97:Q97"/>
    <mergeCell ref="R97:U97"/>
    <mergeCell ref="V97:Y97"/>
    <mergeCell ref="E96:I96"/>
    <mergeCell ref="J96:M96"/>
    <mergeCell ref="N96:Q96"/>
    <mergeCell ref="R96:U96"/>
    <mergeCell ref="V96:Y96"/>
    <mergeCell ref="Z96:AC96"/>
    <mergeCell ref="Z97:AC97"/>
    <mergeCell ref="AD97:AG97"/>
    <mergeCell ref="AK97:AM97"/>
    <mergeCell ref="AY97:AZ97"/>
    <mergeCell ref="E98:I98"/>
    <mergeCell ref="J98:M98"/>
    <mergeCell ref="N98:Q98"/>
    <mergeCell ref="R98:U98"/>
    <mergeCell ref="V98:Y98"/>
    <mergeCell ref="AY94:AZ94"/>
    <mergeCell ref="E95:I95"/>
    <mergeCell ref="J95:M95"/>
    <mergeCell ref="N95:Q95"/>
    <mergeCell ref="R95:U95"/>
    <mergeCell ref="V95:Y95"/>
    <mergeCell ref="Z95:AC95"/>
    <mergeCell ref="AD95:AG95"/>
    <mergeCell ref="AK95:AM95"/>
    <mergeCell ref="AY95:AZ95"/>
    <mergeCell ref="J94:M94"/>
    <mergeCell ref="N94:Q94"/>
    <mergeCell ref="R94:U94"/>
    <mergeCell ref="V94:Y94"/>
    <mergeCell ref="Z94:AC94"/>
    <mergeCell ref="AD94:AG94"/>
    <mergeCell ref="AY92:AZ92"/>
    <mergeCell ref="E93:I93"/>
    <mergeCell ref="J93:M93"/>
    <mergeCell ref="N93:Q93"/>
    <mergeCell ref="R93:U93"/>
    <mergeCell ref="V93:Y93"/>
    <mergeCell ref="Z93:AC93"/>
    <mergeCell ref="AD93:AG93"/>
    <mergeCell ref="AY93:AZ93"/>
    <mergeCell ref="AD91:AG91"/>
    <mergeCell ref="B92:D96"/>
    <mergeCell ref="E92:I92"/>
    <mergeCell ref="J92:M92"/>
    <mergeCell ref="N92:Q92"/>
    <mergeCell ref="R92:U92"/>
    <mergeCell ref="V92:Y92"/>
    <mergeCell ref="Z92:AC92"/>
    <mergeCell ref="AD92:AG92"/>
    <mergeCell ref="E94:I94"/>
    <mergeCell ref="B90:D91"/>
    <mergeCell ref="E90:I91"/>
    <mergeCell ref="J90:Q90"/>
    <mergeCell ref="R90:Y90"/>
    <mergeCell ref="Z90:AG90"/>
    <mergeCell ref="J91:M91"/>
    <mergeCell ref="N91:Q91"/>
    <mergeCell ref="R91:U91"/>
    <mergeCell ref="V91:Y91"/>
    <mergeCell ref="Z91:AC91"/>
    <mergeCell ref="AD96:AG96"/>
    <mergeCell ref="AI86:AK86"/>
    <mergeCell ref="B87:F87"/>
    <mergeCell ref="G87:K87"/>
    <mergeCell ref="L87:P87"/>
    <mergeCell ref="Q87:U87"/>
    <mergeCell ref="V87:Z87"/>
    <mergeCell ref="AA87:AE87"/>
    <mergeCell ref="AA85:AE85"/>
    <mergeCell ref="B86:F86"/>
    <mergeCell ref="G86:K86"/>
    <mergeCell ref="L86:P86"/>
    <mergeCell ref="Q86:U86"/>
    <mergeCell ref="V86:Z86"/>
    <mergeCell ref="AA86:AE86"/>
    <mergeCell ref="B81:G81"/>
    <mergeCell ref="H81:M81"/>
    <mergeCell ref="N81:S81"/>
    <mergeCell ref="T81:Y81"/>
    <mergeCell ref="Z81:AG81"/>
    <mergeCell ref="B85:F85"/>
    <mergeCell ref="G85:K85"/>
    <mergeCell ref="L85:P85"/>
    <mergeCell ref="Q85:U85"/>
    <mergeCell ref="V85:Z85"/>
    <mergeCell ref="B82:G82"/>
    <mergeCell ref="H82:M82"/>
    <mergeCell ref="N82:S82"/>
    <mergeCell ref="T82:Y82"/>
    <mergeCell ref="Z82:AG82"/>
    <mergeCell ref="B79:G79"/>
    <mergeCell ref="H79:M79"/>
    <mergeCell ref="N79:S79"/>
    <mergeCell ref="T79:Y79"/>
    <mergeCell ref="Z79:AG79"/>
    <mergeCell ref="B80:G80"/>
    <mergeCell ref="H80:M80"/>
    <mergeCell ref="N80:S80"/>
    <mergeCell ref="T80:Y80"/>
    <mergeCell ref="Z80:AG80"/>
    <mergeCell ref="H71:J72"/>
    <mergeCell ref="K71:L72"/>
    <mergeCell ref="M71:N72"/>
    <mergeCell ref="O71:Q72"/>
    <mergeCell ref="B78:G78"/>
    <mergeCell ref="H78:M78"/>
    <mergeCell ref="N78:S78"/>
    <mergeCell ref="T78:Y78"/>
    <mergeCell ref="Z78:AG78"/>
    <mergeCell ref="X73:Y73"/>
    <mergeCell ref="Z73:AB73"/>
    <mergeCell ref="AC73:AD73"/>
    <mergeCell ref="AE73:AG73"/>
    <mergeCell ref="B76:G77"/>
    <mergeCell ref="H76:Y76"/>
    <mergeCell ref="Z76:AG77"/>
    <mergeCell ref="H77:M77"/>
    <mergeCell ref="N77:S77"/>
    <mergeCell ref="T77:Y77"/>
    <mergeCell ref="AQ67:AR67"/>
    <mergeCell ref="AQ68:AR68"/>
    <mergeCell ref="V67:W68"/>
    <mergeCell ref="X67:Y68"/>
    <mergeCell ref="Z67:AB68"/>
    <mergeCell ref="AC67:AD68"/>
    <mergeCell ref="AE71:AG72"/>
    <mergeCell ref="B73:D73"/>
    <mergeCell ref="E73:G73"/>
    <mergeCell ref="H73:J73"/>
    <mergeCell ref="K73:L73"/>
    <mergeCell ref="M73:N73"/>
    <mergeCell ref="O73:Q73"/>
    <mergeCell ref="R73:S73"/>
    <mergeCell ref="T73:U73"/>
    <mergeCell ref="V73:W73"/>
    <mergeCell ref="R71:S72"/>
    <mergeCell ref="T71:U72"/>
    <mergeCell ref="V71:W72"/>
    <mergeCell ref="X71:Y72"/>
    <mergeCell ref="Z71:AB72"/>
    <mergeCell ref="AC71:AD72"/>
    <mergeCell ref="B71:D72"/>
    <mergeCell ref="E71:G72"/>
    <mergeCell ref="AQ63:AR63"/>
    <mergeCell ref="AQ64:AR64"/>
    <mergeCell ref="B69:D70"/>
    <mergeCell ref="E69:G70"/>
    <mergeCell ref="H69:J70"/>
    <mergeCell ref="K69:L70"/>
    <mergeCell ref="M69:N70"/>
    <mergeCell ref="O69:Q70"/>
    <mergeCell ref="R69:S70"/>
    <mergeCell ref="R67:S68"/>
    <mergeCell ref="T67:U68"/>
    <mergeCell ref="B67:D68"/>
    <mergeCell ref="E67:G68"/>
    <mergeCell ref="H67:J68"/>
    <mergeCell ref="K67:L68"/>
    <mergeCell ref="M67:N68"/>
    <mergeCell ref="O67:Q68"/>
    <mergeCell ref="T69:U70"/>
    <mergeCell ref="V69:W70"/>
    <mergeCell ref="X69:Y70"/>
    <mergeCell ref="Z69:AB70"/>
    <mergeCell ref="AC69:AD70"/>
    <mergeCell ref="AE69:AG70"/>
    <mergeCell ref="AE67:AG68"/>
    <mergeCell ref="B65:D66"/>
    <mergeCell ref="E65:G66"/>
    <mergeCell ref="H65:J66"/>
    <mergeCell ref="K65:L66"/>
    <mergeCell ref="M65:N66"/>
    <mergeCell ref="O65:Q66"/>
    <mergeCell ref="R65:S66"/>
    <mergeCell ref="T65:U66"/>
    <mergeCell ref="AQ61:AR61"/>
    <mergeCell ref="F62:I62"/>
    <mergeCell ref="J62:M62"/>
    <mergeCell ref="N62:Q62"/>
    <mergeCell ref="R62:U62"/>
    <mergeCell ref="V62:Y62"/>
    <mergeCell ref="Z62:AC62"/>
    <mergeCell ref="AD62:AG62"/>
    <mergeCell ref="AQ62:AR62"/>
    <mergeCell ref="V65:W66"/>
    <mergeCell ref="X65:Y66"/>
    <mergeCell ref="Z65:AB66"/>
    <mergeCell ref="AC65:AD66"/>
    <mergeCell ref="AE65:AG66"/>
    <mergeCell ref="AQ65:AR65"/>
    <mergeCell ref="AQ66:AR66"/>
    <mergeCell ref="V58:Y58"/>
    <mergeCell ref="Z58:AC58"/>
    <mergeCell ref="AD58:AG58"/>
    <mergeCell ref="B61:E62"/>
    <mergeCell ref="F61:I61"/>
    <mergeCell ref="J61:M61"/>
    <mergeCell ref="N61:Q61"/>
    <mergeCell ref="R61:U61"/>
    <mergeCell ref="V61:Y61"/>
    <mergeCell ref="Z61:AC61"/>
    <mergeCell ref="AD61:AG61"/>
    <mergeCell ref="F60:I60"/>
    <mergeCell ref="J60:M60"/>
    <mergeCell ref="N60:Q60"/>
    <mergeCell ref="R60:U60"/>
    <mergeCell ref="V60:Y60"/>
    <mergeCell ref="Z60:AC60"/>
    <mergeCell ref="F57:I57"/>
    <mergeCell ref="J57:M57"/>
    <mergeCell ref="N57:Q57"/>
    <mergeCell ref="R57:U57"/>
    <mergeCell ref="V57:Y57"/>
    <mergeCell ref="Z57:AC57"/>
    <mergeCell ref="AQ58:AR58"/>
    <mergeCell ref="B59:E60"/>
    <mergeCell ref="F59:I59"/>
    <mergeCell ref="J59:M59"/>
    <mergeCell ref="N59:Q59"/>
    <mergeCell ref="R59:U59"/>
    <mergeCell ref="V59:Y59"/>
    <mergeCell ref="Z59:AC59"/>
    <mergeCell ref="AD59:AG59"/>
    <mergeCell ref="AQ59:AR59"/>
    <mergeCell ref="B57:E58"/>
    <mergeCell ref="AD60:AG60"/>
    <mergeCell ref="AQ60:AR60"/>
    <mergeCell ref="AD57:AG57"/>
    <mergeCell ref="F58:I58"/>
    <mergeCell ref="J58:M58"/>
    <mergeCell ref="N58:Q58"/>
    <mergeCell ref="R58:U58"/>
    <mergeCell ref="W48:X48"/>
    <mergeCell ref="AC48:AD48"/>
    <mergeCell ref="D49:G49"/>
    <mergeCell ref="W49:X49"/>
    <mergeCell ref="AC49:AD49"/>
    <mergeCell ref="B56:E56"/>
    <mergeCell ref="F56:I56"/>
    <mergeCell ref="J56:M56"/>
    <mergeCell ref="N56:Q56"/>
    <mergeCell ref="R56:U56"/>
    <mergeCell ref="B39:C49"/>
    <mergeCell ref="D39:F39"/>
    <mergeCell ref="G39:H39"/>
    <mergeCell ref="L39:M39"/>
    <mergeCell ref="Q39:R39"/>
    <mergeCell ref="W39:X39"/>
    <mergeCell ref="AC39:AD39"/>
    <mergeCell ref="V56:Y56"/>
    <mergeCell ref="Z56:AC56"/>
    <mergeCell ref="AD56:AG56"/>
    <mergeCell ref="W45:X45"/>
    <mergeCell ref="AC45:AD45"/>
    <mergeCell ref="W46:X46"/>
    <mergeCell ref="AC46:AD46"/>
    <mergeCell ref="W47:X47"/>
    <mergeCell ref="AC47:AD47"/>
    <mergeCell ref="D43:G43"/>
    <mergeCell ref="Q43:R43"/>
    <mergeCell ref="W43:X43"/>
    <mergeCell ref="AC43:AD43"/>
    <mergeCell ref="W44:X44"/>
    <mergeCell ref="AC44:AD44"/>
    <mergeCell ref="AJ39:AM39"/>
    <mergeCell ref="D40:G40"/>
    <mergeCell ref="AJ41:AM41"/>
    <mergeCell ref="D42:G42"/>
    <mergeCell ref="L42:M42"/>
    <mergeCell ref="Q42:R42"/>
    <mergeCell ref="W42:X42"/>
    <mergeCell ref="AC42:AD42"/>
    <mergeCell ref="L40:M40"/>
    <mergeCell ref="Q40:R40"/>
    <mergeCell ref="W40:X40"/>
    <mergeCell ref="AC40:AD40"/>
    <mergeCell ref="D41:G41"/>
    <mergeCell ref="L41:M41"/>
    <mergeCell ref="Q41:R41"/>
    <mergeCell ref="W41:X41"/>
    <mergeCell ref="AC41:AD41"/>
    <mergeCell ref="AE37:AG37"/>
    <mergeCell ref="B38:C38"/>
    <mergeCell ref="D38:H38"/>
    <mergeCell ref="I38:M38"/>
    <mergeCell ref="N38:R38"/>
    <mergeCell ref="S38:X38"/>
    <mergeCell ref="Y38:AD38"/>
    <mergeCell ref="AE38:AG38"/>
    <mergeCell ref="AJ38:AM38"/>
    <mergeCell ref="W34:X34"/>
    <mergeCell ref="AC34:AD34"/>
    <mergeCell ref="D35:G35"/>
    <mergeCell ref="W35:X35"/>
    <mergeCell ref="AC35:AD35"/>
    <mergeCell ref="B37:C37"/>
    <mergeCell ref="D37:H37"/>
    <mergeCell ref="I37:M37"/>
    <mergeCell ref="N37:R37"/>
    <mergeCell ref="S37:X37"/>
    <mergeCell ref="B25:C35"/>
    <mergeCell ref="Y37:AD37"/>
    <mergeCell ref="W31:X31"/>
    <mergeCell ref="AC31:AD31"/>
    <mergeCell ref="W32:X32"/>
    <mergeCell ref="AC32:AD32"/>
    <mergeCell ref="W33:X33"/>
    <mergeCell ref="AC33:AD33"/>
    <mergeCell ref="D29:G29"/>
    <mergeCell ref="Q29:R29"/>
    <mergeCell ref="W29:X29"/>
    <mergeCell ref="AC29:AD29"/>
    <mergeCell ref="W30:X30"/>
    <mergeCell ref="AC30:AD30"/>
    <mergeCell ref="D28:G28"/>
    <mergeCell ref="L28:M28"/>
    <mergeCell ref="Q28:R28"/>
    <mergeCell ref="W28:X28"/>
    <mergeCell ref="AC28:AD28"/>
    <mergeCell ref="AC25:AD25"/>
    <mergeCell ref="D26:G26"/>
    <mergeCell ref="L26:M26"/>
    <mergeCell ref="Q26:R26"/>
    <mergeCell ref="W26:X26"/>
    <mergeCell ref="AC26:AD26"/>
    <mergeCell ref="D25:F25"/>
    <mergeCell ref="G25:H25"/>
    <mergeCell ref="L25:M25"/>
    <mergeCell ref="Q25:R25"/>
    <mergeCell ref="W25:X25"/>
    <mergeCell ref="D27:G27"/>
    <mergeCell ref="L27:M27"/>
    <mergeCell ref="Q27:R27"/>
    <mergeCell ref="W27:X27"/>
    <mergeCell ref="AE23:AG23"/>
    <mergeCell ref="B24:C24"/>
    <mergeCell ref="D24:H24"/>
    <mergeCell ref="I24:M24"/>
    <mergeCell ref="N24:R24"/>
    <mergeCell ref="S24:X24"/>
    <mergeCell ref="Y24:AD24"/>
    <mergeCell ref="AE24:AG24"/>
    <mergeCell ref="AC27:AD27"/>
    <mergeCell ref="D19:H19"/>
    <mergeCell ref="I19:M19"/>
    <mergeCell ref="N19:R19"/>
    <mergeCell ref="B23:C23"/>
    <mergeCell ref="D23:H23"/>
    <mergeCell ref="I23:M23"/>
    <mergeCell ref="N23:R23"/>
    <mergeCell ref="AH17:AK17"/>
    <mergeCell ref="AX17:AY17"/>
    <mergeCell ref="B18:H18"/>
    <mergeCell ref="I18:M18"/>
    <mergeCell ref="N18:R18"/>
    <mergeCell ref="S18:W18"/>
    <mergeCell ref="X18:AA18"/>
    <mergeCell ref="AC18:AG18"/>
    <mergeCell ref="AH18:AK18"/>
    <mergeCell ref="B17:H17"/>
    <mergeCell ref="I17:M17"/>
    <mergeCell ref="N17:R17"/>
    <mergeCell ref="S17:W17"/>
    <mergeCell ref="X17:AA17"/>
    <mergeCell ref="AC17:AG17"/>
    <mergeCell ref="S23:X23"/>
    <mergeCell ref="Y23:AD23"/>
    <mergeCell ref="AH15:AK15"/>
    <mergeCell ref="B16:H16"/>
    <mergeCell ref="I16:M16"/>
    <mergeCell ref="N16:R16"/>
    <mergeCell ref="S16:W16"/>
    <mergeCell ref="X16:AA16"/>
    <mergeCell ref="AC16:AG16"/>
    <mergeCell ref="AH16:AK16"/>
    <mergeCell ref="B15:H15"/>
    <mergeCell ref="I15:M15"/>
    <mergeCell ref="N15:R15"/>
    <mergeCell ref="S15:W15"/>
    <mergeCell ref="X15:AA15"/>
    <mergeCell ref="AC15:AG15"/>
    <mergeCell ref="AH13:AK13"/>
    <mergeCell ref="I14:M14"/>
    <mergeCell ref="N14:R14"/>
    <mergeCell ref="S14:W14"/>
    <mergeCell ref="X14:AA14"/>
    <mergeCell ref="AC14:AG14"/>
    <mergeCell ref="AH14:AK14"/>
    <mergeCell ref="Y11:AA11"/>
    <mergeCell ref="AC11:AG12"/>
    <mergeCell ref="Y12:AA12"/>
    <mergeCell ref="I13:M13"/>
    <mergeCell ref="N13:R13"/>
    <mergeCell ref="S13:W13"/>
    <mergeCell ref="X13:AA13"/>
    <mergeCell ref="AC13:AG13"/>
    <mergeCell ref="I7:M7"/>
    <mergeCell ref="I8:M8"/>
    <mergeCell ref="V8:X8"/>
    <mergeCell ref="B11:H12"/>
    <mergeCell ref="I11:M12"/>
    <mergeCell ref="N11:R12"/>
    <mergeCell ref="S11:W12"/>
    <mergeCell ref="A1:AG2"/>
    <mergeCell ref="AA3:AG4"/>
    <mergeCell ref="AA5:AG5"/>
    <mergeCell ref="B6:D6"/>
    <mergeCell ref="F6:L6"/>
    <mergeCell ref="M6:O6"/>
  </mergeCells>
  <phoneticPr fontId="9"/>
  <pageMargins left="0.59055118110236227" right="0.39370078740157483" top="0.39370078740157483" bottom="0.39370078740157483" header="0" footer="0"/>
  <pageSetup paperSize="9" scale="99" orientation="portrait" copies="9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T113"/>
  <sheetViews>
    <sheetView view="pageBreakPreview" zoomScaleNormal="100" zoomScaleSheetLayoutView="100" workbookViewId="0">
      <selection activeCell="AA5" sqref="AA5:AG5"/>
    </sheetView>
  </sheetViews>
  <sheetFormatPr defaultColWidth="2.625" defaultRowHeight="15.6" customHeight="1" x14ac:dyDescent="0.15"/>
  <cols>
    <col min="1" max="1" width="2.625" style="69"/>
    <col min="2" max="29" width="2.625" style="4"/>
    <col min="30" max="30" width="2.625" style="4" customWidth="1"/>
    <col min="31" max="33" width="2.625" style="4"/>
    <col min="34" max="35" width="2.625" style="7"/>
    <col min="36" max="36" width="8.5" style="7" bestFit="1" customWidth="1"/>
    <col min="37" max="37" width="3.5" style="7" bestFit="1" customWidth="1"/>
    <col min="38" max="42" width="2.625" style="7"/>
    <col min="43" max="43" width="3.5" style="7" bestFit="1" customWidth="1"/>
    <col min="44" max="47" width="2.625" style="7"/>
    <col min="48" max="50" width="2.625" style="4"/>
    <col min="51" max="52" width="2.625" style="79"/>
    <col min="53" max="16384" width="2.625" style="4"/>
  </cols>
  <sheetData>
    <row r="1" spans="1:52" ht="15.6" customHeight="1" x14ac:dyDescent="0.15">
      <c r="A1" s="562" t="s">
        <v>6</v>
      </c>
      <c r="B1" s="562"/>
      <c r="C1" s="562"/>
      <c r="D1" s="562"/>
      <c r="E1" s="562"/>
      <c r="F1" s="562"/>
      <c r="G1" s="562"/>
      <c r="H1" s="562"/>
      <c r="I1" s="562"/>
      <c r="J1" s="562"/>
      <c r="K1" s="562"/>
      <c r="L1" s="562"/>
      <c r="M1" s="562"/>
      <c r="N1" s="562"/>
      <c r="O1" s="562"/>
      <c r="P1" s="562"/>
      <c r="Q1" s="562"/>
      <c r="R1" s="562"/>
      <c r="S1" s="562"/>
      <c r="T1" s="562"/>
      <c r="U1" s="562"/>
      <c r="V1" s="562"/>
      <c r="W1" s="562"/>
      <c r="X1" s="562"/>
      <c r="Y1" s="562"/>
      <c r="Z1" s="562"/>
      <c r="AA1" s="562"/>
      <c r="AB1" s="562"/>
      <c r="AC1" s="562"/>
      <c r="AD1" s="562"/>
      <c r="AE1" s="562"/>
      <c r="AF1" s="562"/>
      <c r="AG1" s="562"/>
      <c r="AH1" s="20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</row>
    <row r="2" spans="1:52" ht="15.6" customHeight="1" x14ac:dyDescent="0.15">
      <c r="A2" s="562"/>
      <c r="B2" s="562"/>
      <c r="C2" s="562"/>
      <c r="D2" s="562"/>
      <c r="E2" s="562"/>
      <c r="F2" s="562"/>
      <c r="G2" s="562"/>
      <c r="H2" s="562"/>
      <c r="I2" s="562"/>
      <c r="J2" s="562"/>
      <c r="K2" s="562"/>
      <c r="L2" s="562"/>
      <c r="M2" s="562"/>
      <c r="N2" s="562"/>
      <c r="O2" s="562"/>
      <c r="P2" s="562"/>
      <c r="Q2" s="562"/>
      <c r="R2" s="562"/>
      <c r="S2" s="562"/>
      <c r="T2" s="562"/>
      <c r="U2" s="562"/>
      <c r="V2" s="562"/>
      <c r="W2" s="562"/>
      <c r="X2" s="562"/>
      <c r="Y2" s="562"/>
      <c r="Z2" s="562"/>
      <c r="AA2" s="562"/>
      <c r="AB2" s="562"/>
      <c r="AC2" s="562"/>
      <c r="AD2" s="562"/>
      <c r="AE2" s="562"/>
      <c r="AF2" s="562"/>
      <c r="AG2" s="562"/>
      <c r="AH2" s="20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</row>
    <row r="3" spans="1:52" s="3" customFormat="1" ht="15.6" customHeight="1" x14ac:dyDescent="0.15">
      <c r="A3" s="49"/>
      <c r="B3" s="41"/>
      <c r="C3" s="42"/>
      <c r="D3" s="42"/>
      <c r="E3" s="42"/>
      <c r="F3" s="42"/>
      <c r="G3" s="42"/>
      <c r="H3" s="42"/>
      <c r="I3" s="42"/>
      <c r="J3" s="42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33"/>
      <c r="W3" s="33"/>
      <c r="X3" s="33"/>
      <c r="Y3" s="33"/>
      <c r="Z3" s="33"/>
      <c r="AA3" s="563" t="s">
        <v>107</v>
      </c>
      <c r="AB3" s="563"/>
      <c r="AC3" s="563"/>
      <c r="AD3" s="563"/>
      <c r="AE3" s="563"/>
      <c r="AF3" s="563"/>
      <c r="AG3" s="563"/>
      <c r="AH3" s="21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Y3" s="79"/>
      <c r="AZ3" s="79"/>
    </row>
    <row r="4" spans="1:52" s="3" customFormat="1" ht="15.6" customHeight="1" x14ac:dyDescent="0.15">
      <c r="A4" s="49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33"/>
      <c r="W4" s="33"/>
      <c r="X4" s="33"/>
      <c r="Y4" s="33"/>
      <c r="Z4" s="33"/>
      <c r="AA4" s="563"/>
      <c r="AB4" s="563"/>
      <c r="AC4" s="563"/>
      <c r="AD4" s="563"/>
      <c r="AE4" s="563"/>
      <c r="AF4" s="563"/>
      <c r="AG4" s="563"/>
      <c r="AH4" s="21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Y4" s="79"/>
      <c r="AZ4" s="79"/>
    </row>
    <row r="5" spans="1:52" s="3" customFormat="1" ht="15.6" customHeight="1" x14ac:dyDescent="0.15">
      <c r="A5" s="49" t="s">
        <v>66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21"/>
      <c r="W5" s="21"/>
      <c r="X5" s="21"/>
      <c r="Y5" s="21"/>
      <c r="Z5" s="21"/>
      <c r="AA5" s="891" t="s">
        <v>234</v>
      </c>
      <c r="AB5" s="564"/>
      <c r="AC5" s="564"/>
      <c r="AD5" s="564"/>
      <c r="AE5" s="564"/>
      <c r="AF5" s="564"/>
      <c r="AG5" s="564"/>
      <c r="AH5" s="21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Y5" s="79"/>
      <c r="AZ5" s="79"/>
    </row>
    <row r="6" spans="1:52" s="3" customFormat="1" ht="15.6" customHeight="1" x14ac:dyDescent="0.15">
      <c r="A6" s="49" t="s">
        <v>7</v>
      </c>
      <c r="B6" s="828" t="s">
        <v>108</v>
      </c>
      <c r="C6" s="828"/>
      <c r="D6" s="828"/>
      <c r="E6" s="35" t="s">
        <v>109</v>
      </c>
      <c r="F6" s="566">
        <v>44835</v>
      </c>
      <c r="G6" s="566"/>
      <c r="H6" s="566"/>
      <c r="I6" s="566"/>
      <c r="J6" s="566"/>
      <c r="K6" s="566"/>
      <c r="L6" s="566"/>
      <c r="M6" s="826" t="s">
        <v>111</v>
      </c>
      <c r="N6" s="826"/>
      <c r="O6" s="826"/>
      <c r="P6" s="16"/>
      <c r="Q6" s="16"/>
      <c r="R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Y6" s="79"/>
      <c r="AZ6" s="79"/>
    </row>
    <row r="7" spans="1:52" s="3" customFormat="1" ht="15.6" customHeight="1" x14ac:dyDescent="0.15">
      <c r="A7" s="49"/>
      <c r="B7" s="16"/>
      <c r="C7" s="16" t="s">
        <v>65</v>
      </c>
      <c r="D7" s="15"/>
      <c r="E7" s="16"/>
      <c r="F7" s="49"/>
      <c r="G7" s="49"/>
      <c r="H7" s="49"/>
      <c r="I7" s="824">
        <v>224095</v>
      </c>
      <c r="J7" s="824"/>
      <c r="K7" s="824"/>
      <c r="L7" s="824"/>
      <c r="M7" s="824"/>
      <c r="N7" s="49" t="s">
        <v>8</v>
      </c>
      <c r="O7" s="49"/>
      <c r="P7" s="32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Y7" s="79"/>
      <c r="AZ7" s="79"/>
    </row>
    <row r="8" spans="1:52" s="3" customFormat="1" ht="15.6" customHeight="1" x14ac:dyDescent="0.15">
      <c r="A8" s="49"/>
      <c r="B8" s="16"/>
      <c r="C8" s="16" t="s">
        <v>9</v>
      </c>
      <c r="D8" s="16"/>
      <c r="E8" s="16"/>
      <c r="F8" s="49"/>
      <c r="G8" s="49"/>
      <c r="H8" s="49"/>
      <c r="I8" s="825">
        <v>103411</v>
      </c>
      <c r="J8" s="824"/>
      <c r="K8" s="824"/>
      <c r="L8" s="824"/>
      <c r="M8" s="824"/>
      <c r="N8" s="49" t="s">
        <v>10</v>
      </c>
      <c r="O8" s="49"/>
      <c r="P8" s="16" t="s">
        <v>11</v>
      </c>
      <c r="Q8" s="16"/>
      <c r="R8" s="16"/>
      <c r="S8" s="16"/>
      <c r="T8" s="16"/>
      <c r="U8" s="16"/>
      <c r="V8" s="548">
        <f>I7/I8</f>
        <v>2.167032520718299</v>
      </c>
      <c r="W8" s="548"/>
      <c r="X8" s="548"/>
      <c r="Y8" s="16" t="s">
        <v>12</v>
      </c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Y8" s="79"/>
      <c r="AZ8" s="79"/>
    </row>
    <row r="9" spans="1:52" s="3" customFormat="1" ht="15.6" customHeight="1" x14ac:dyDescent="0.15">
      <c r="A9" s="49"/>
      <c r="B9" s="16"/>
      <c r="C9" s="16"/>
      <c r="D9" s="16"/>
      <c r="E9" s="16"/>
      <c r="F9" s="16"/>
      <c r="G9" s="16"/>
      <c r="H9" s="16"/>
      <c r="I9" s="312"/>
      <c r="J9" s="311"/>
      <c r="K9" s="311"/>
      <c r="L9" s="311"/>
      <c r="M9" s="311"/>
      <c r="N9" s="16"/>
      <c r="O9" s="16"/>
      <c r="P9" s="16"/>
      <c r="Q9" s="16"/>
      <c r="R9" s="16"/>
      <c r="S9" s="16"/>
      <c r="T9" s="16"/>
      <c r="U9" s="16"/>
      <c r="V9" s="298"/>
      <c r="W9" s="298"/>
      <c r="X9" s="298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Y9" s="79"/>
      <c r="AZ9" s="79"/>
    </row>
    <row r="10" spans="1:52" s="3" customFormat="1" ht="15.6" customHeight="1" x14ac:dyDescent="0.15">
      <c r="A10" s="49" t="s">
        <v>5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Y10" s="79"/>
      <c r="AZ10" s="79"/>
    </row>
    <row r="11" spans="1:52" s="3" customFormat="1" ht="15.6" customHeight="1" x14ac:dyDescent="0.15">
      <c r="A11" s="49"/>
      <c r="B11" s="549" t="s">
        <v>67</v>
      </c>
      <c r="C11" s="550"/>
      <c r="D11" s="550"/>
      <c r="E11" s="550"/>
      <c r="F11" s="550"/>
      <c r="G11" s="550"/>
      <c r="H11" s="551"/>
      <c r="I11" s="555" t="s">
        <v>130</v>
      </c>
      <c r="J11" s="556"/>
      <c r="K11" s="556"/>
      <c r="L11" s="556"/>
      <c r="M11" s="557"/>
      <c r="N11" s="555" t="s">
        <v>131</v>
      </c>
      <c r="O11" s="556"/>
      <c r="P11" s="556"/>
      <c r="Q11" s="556"/>
      <c r="R11" s="557"/>
      <c r="S11" s="561" t="s">
        <v>13</v>
      </c>
      <c r="T11" s="556"/>
      <c r="U11" s="556"/>
      <c r="V11" s="556"/>
      <c r="W11" s="557"/>
      <c r="X11" s="29"/>
      <c r="Y11" s="581" t="s">
        <v>68</v>
      </c>
      <c r="Z11" s="581"/>
      <c r="AA11" s="581"/>
      <c r="AB11" s="30"/>
      <c r="AC11" s="561" t="s">
        <v>81</v>
      </c>
      <c r="AD11" s="556"/>
      <c r="AE11" s="556"/>
      <c r="AF11" s="556"/>
      <c r="AG11" s="557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Y11" s="79"/>
      <c r="AZ11" s="79"/>
    </row>
    <row r="12" spans="1:52" s="3" customFormat="1" ht="15.6" customHeight="1" x14ac:dyDescent="0.15">
      <c r="A12" s="49"/>
      <c r="B12" s="552"/>
      <c r="C12" s="553"/>
      <c r="D12" s="553"/>
      <c r="E12" s="553"/>
      <c r="F12" s="553"/>
      <c r="G12" s="553"/>
      <c r="H12" s="554"/>
      <c r="I12" s="558"/>
      <c r="J12" s="559"/>
      <c r="K12" s="559"/>
      <c r="L12" s="559"/>
      <c r="M12" s="560"/>
      <c r="N12" s="558"/>
      <c r="O12" s="559"/>
      <c r="P12" s="559"/>
      <c r="Q12" s="559"/>
      <c r="R12" s="560"/>
      <c r="S12" s="558"/>
      <c r="T12" s="559"/>
      <c r="U12" s="559"/>
      <c r="V12" s="559"/>
      <c r="W12" s="560"/>
      <c r="X12" s="31"/>
      <c r="Y12" s="581" t="s">
        <v>69</v>
      </c>
      <c r="Z12" s="581"/>
      <c r="AA12" s="581"/>
      <c r="AB12" s="32"/>
      <c r="AC12" s="558"/>
      <c r="AD12" s="559"/>
      <c r="AE12" s="559"/>
      <c r="AF12" s="559"/>
      <c r="AG12" s="560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Y12" s="79"/>
      <c r="AZ12" s="79"/>
    </row>
    <row r="13" spans="1:52" s="3" customFormat="1" ht="15.6" customHeight="1" x14ac:dyDescent="0.15">
      <c r="A13" s="49"/>
      <c r="B13" s="321" t="s">
        <v>126</v>
      </c>
      <c r="C13" s="322"/>
      <c r="D13" s="322"/>
      <c r="E13" s="322"/>
      <c r="F13" s="322"/>
      <c r="G13" s="322"/>
      <c r="H13" s="323"/>
      <c r="I13" s="570">
        <v>2329</v>
      </c>
      <c r="J13" s="571"/>
      <c r="K13" s="571"/>
      <c r="L13" s="571"/>
      <c r="M13" s="572"/>
      <c r="N13" s="570">
        <v>3076</v>
      </c>
      <c r="O13" s="571"/>
      <c r="P13" s="571"/>
      <c r="Q13" s="571"/>
      <c r="R13" s="572"/>
      <c r="S13" s="570">
        <v>28</v>
      </c>
      <c r="T13" s="571"/>
      <c r="U13" s="571"/>
      <c r="V13" s="571"/>
      <c r="W13" s="572"/>
      <c r="X13" s="582">
        <f t="shared" ref="X13:X16" si="0">I13/S13</f>
        <v>83.178571428571431</v>
      </c>
      <c r="Y13" s="583"/>
      <c r="Z13" s="583"/>
      <c r="AA13" s="583"/>
      <c r="AB13" s="34"/>
      <c r="AC13" s="584">
        <v>13.65933373002833</v>
      </c>
      <c r="AD13" s="585"/>
      <c r="AE13" s="585"/>
      <c r="AF13" s="585"/>
      <c r="AG13" s="586"/>
      <c r="AH13" s="568"/>
      <c r="AI13" s="569"/>
      <c r="AJ13" s="569"/>
      <c r="AK13" s="569"/>
      <c r="AL13" s="16"/>
      <c r="AM13" s="18"/>
      <c r="AN13" s="16"/>
      <c r="AO13" s="16"/>
      <c r="AP13" s="16"/>
      <c r="AQ13" s="16"/>
      <c r="AR13" s="16"/>
      <c r="AS13" s="16"/>
      <c r="AT13" s="16"/>
      <c r="AU13" s="16"/>
      <c r="AY13" s="79"/>
      <c r="AZ13" s="79"/>
    </row>
    <row r="14" spans="1:52" s="3" customFormat="1" ht="15.6" customHeight="1" x14ac:dyDescent="0.15">
      <c r="A14" s="49"/>
      <c r="B14" s="321" t="s">
        <v>129</v>
      </c>
      <c r="C14" s="322"/>
      <c r="D14" s="322"/>
      <c r="E14" s="322"/>
      <c r="F14" s="322"/>
      <c r="G14" s="322"/>
      <c r="H14" s="323"/>
      <c r="I14" s="570">
        <v>2409</v>
      </c>
      <c r="J14" s="571"/>
      <c r="K14" s="571"/>
      <c r="L14" s="571"/>
      <c r="M14" s="572"/>
      <c r="N14" s="570">
        <v>3167</v>
      </c>
      <c r="O14" s="571"/>
      <c r="P14" s="571"/>
      <c r="Q14" s="571"/>
      <c r="R14" s="572"/>
      <c r="S14" s="573">
        <v>28</v>
      </c>
      <c r="T14" s="574"/>
      <c r="U14" s="574"/>
      <c r="V14" s="574"/>
      <c r="W14" s="575"/>
      <c r="X14" s="576">
        <f>I14/S14</f>
        <v>86.035714285714292</v>
      </c>
      <c r="Y14" s="577"/>
      <c r="Z14" s="577"/>
      <c r="AA14" s="577"/>
      <c r="AB14" s="23"/>
      <c r="AC14" s="578">
        <v>14.09717121808996</v>
      </c>
      <c r="AD14" s="579"/>
      <c r="AE14" s="579"/>
      <c r="AF14" s="579"/>
      <c r="AG14" s="580"/>
      <c r="AH14" s="568"/>
      <c r="AI14" s="569"/>
      <c r="AJ14" s="569"/>
      <c r="AK14" s="569"/>
      <c r="AL14" s="16"/>
      <c r="AM14" s="18"/>
      <c r="AN14" s="16"/>
      <c r="AO14" s="16"/>
      <c r="AP14" s="16"/>
      <c r="AQ14" s="16"/>
      <c r="AR14" s="16"/>
      <c r="AS14" s="16"/>
      <c r="AT14" s="16"/>
      <c r="AU14" s="16"/>
      <c r="AY14" s="79"/>
      <c r="AZ14" s="79"/>
    </row>
    <row r="15" spans="1:52" s="3" customFormat="1" ht="15.6" customHeight="1" x14ac:dyDescent="0.15">
      <c r="A15" s="49"/>
      <c r="B15" s="589" t="s">
        <v>144</v>
      </c>
      <c r="C15" s="589"/>
      <c r="D15" s="589"/>
      <c r="E15" s="589"/>
      <c r="F15" s="589"/>
      <c r="G15" s="589"/>
      <c r="H15" s="589"/>
      <c r="I15" s="570">
        <v>2478</v>
      </c>
      <c r="J15" s="571"/>
      <c r="K15" s="571"/>
      <c r="L15" s="571"/>
      <c r="M15" s="572"/>
      <c r="N15" s="570">
        <v>3222</v>
      </c>
      <c r="O15" s="571"/>
      <c r="P15" s="571"/>
      <c r="Q15" s="571"/>
      <c r="R15" s="572"/>
      <c r="S15" s="570">
        <v>29</v>
      </c>
      <c r="T15" s="571"/>
      <c r="U15" s="571"/>
      <c r="V15" s="571"/>
      <c r="W15" s="572"/>
      <c r="X15" s="576">
        <f t="shared" si="0"/>
        <v>85.448275862068968</v>
      </c>
      <c r="Y15" s="577"/>
      <c r="Z15" s="577"/>
      <c r="AA15" s="577"/>
      <c r="AB15" s="23"/>
      <c r="AC15" s="578">
        <v>14.375008365344719</v>
      </c>
      <c r="AD15" s="579"/>
      <c r="AE15" s="579"/>
      <c r="AF15" s="579"/>
      <c r="AG15" s="580"/>
      <c r="AH15" s="587"/>
      <c r="AI15" s="588"/>
      <c r="AJ15" s="588"/>
      <c r="AK15" s="588"/>
      <c r="AL15" s="14"/>
      <c r="AM15" s="18"/>
      <c r="AN15" s="14"/>
      <c r="AO15" s="16"/>
      <c r="AP15" s="16"/>
      <c r="AQ15" s="16"/>
      <c r="AR15" s="16"/>
      <c r="AS15" s="16"/>
      <c r="AT15" s="16"/>
      <c r="AU15" s="16"/>
      <c r="AY15" s="79"/>
      <c r="AZ15" s="79"/>
    </row>
    <row r="16" spans="1:52" s="3" customFormat="1" ht="15.6" customHeight="1" x14ac:dyDescent="0.15">
      <c r="A16" s="49"/>
      <c r="B16" s="589" t="s">
        <v>148</v>
      </c>
      <c r="C16" s="589"/>
      <c r="D16" s="589"/>
      <c r="E16" s="589"/>
      <c r="F16" s="589"/>
      <c r="G16" s="589"/>
      <c r="H16" s="589"/>
      <c r="I16" s="570">
        <v>2523</v>
      </c>
      <c r="J16" s="571"/>
      <c r="K16" s="571"/>
      <c r="L16" s="571"/>
      <c r="M16" s="572"/>
      <c r="N16" s="570">
        <v>3258</v>
      </c>
      <c r="O16" s="571"/>
      <c r="P16" s="571"/>
      <c r="Q16" s="571"/>
      <c r="R16" s="572"/>
      <c r="S16" s="570">
        <v>30</v>
      </c>
      <c r="T16" s="571"/>
      <c r="U16" s="571"/>
      <c r="V16" s="571"/>
      <c r="W16" s="572"/>
      <c r="X16" s="576">
        <f t="shared" si="0"/>
        <v>84.1</v>
      </c>
      <c r="Y16" s="577"/>
      <c r="Z16" s="577"/>
      <c r="AA16" s="577"/>
      <c r="AB16" s="23"/>
      <c r="AC16" s="578">
        <v>14.560112977181111</v>
      </c>
      <c r="AD16" s="579"/>
      <c r="AE16" s="579"/>
      <c r="AF16" s="579"/>
      <c r="AG16" s="580"/>
      <c r="AH16" s="587"/>
      <c r="AI16" s="588"/>
      <c r="AJ16" s="588"/>
      <c r="AK16" s="588"/>
      <c r="AL16" s="14"/>
      <c r="AM16" s="18"/>
      <c r="AN16" s="14"/>
      <c r="AO16" s="14"/>
      <c r="AP16" s="14"/>
      <c r="AQ16" s="14"/>
      <c r="AR16" s="14"/>
      <c r="AS16" s="14"/>
      <c r="AT16" s="14"/>
      <c r="AU16" s="14"/>
      <c r="AY16" s="79"/>
      <c r="AZ16" s="79"/>
    </row>
    <row r="17" spans="1:52" s="3" customFormat="1" ht="15.6" customHeight="1" x14ac:dyDescent="0.15">
      <c r="A17" s="49"/>
      <c r="B17" s="604" t="s">
        <v>169</v>
      </c>
      <c r="C17" s="604"/>
      <c r="D17" s="604"/>
      <c r="E17" s="604"/>
      <c r="F17" s="604"/>
      <c r="G17" s="604"/>
      <c r="H17" s="604"/>
      <c r="I17" s="605">
        <v>2564</v>
      </c>
      <c r="J17" s="606"/>
      <c r="K17" s="606"/>
      <c r="L17" s="606"/>
      <c r="M17" s="607"/>
      <c r="N17" s="605">
        <v>3302</v>
      </c>
      <c r="O17" s="606"/>
      <c r="P17" s="606"/>
      <c r="Q17" s="606"/>
      <c r="R17" s="607"/>
      <c r="S17" s="570">
        <v>31</v>
      </c>
      <c r="T17" s="571"/>
      <c r="U17" s="571"/>
      <c r="V17" s="571"/>
      <c r="W17" s="572"/>
      <c r="X17" s="576">
        <f>I17/S17</f>
        <v>82.709677419354833</v>
      </c>
      <c r="Y17" s="577"/>
      <c r="Z17" s="577"/>
      <c r="AA17" s="577"/>
      <c r="AB17" s="23"/>
      <c r="AC17" s="578">
        <v>14.773652608878509</v>
      </c>
      <c r="AD17" s="579"/>
      <c r="AE17" s="579"/>
      <c r="AF17" s="579"/>
      <c r="AG17" s="580"/>
      <c r="AH17" s="587"/>
      <c r="AI17" s="588"/>
      <c r="AJ17" s="588"/>
      <c r="AK17" s="588"/>
      <c r="AL17" s="14"/>
      <c r="AM17" s="14"/>
      <c r="AN17" s="14"/>
      <c r="AO17" s="14"/>
      <c r="AP17" s="14"/>
      <c r="AQ17" s="14"/>
      <c r="AR17" s="14"/>
      <c r="AS17" s="14"/>
      <c r="AT17" s="14"/>
      <c r="AU17" s="39"/>
      <c r="AV17" s="38"/>
      <c r="AX17" s="596"/>
      <c r="AY17" s="596"/>
      <c r="AZ17" s="79"/>
    </row>
    <row r="18" spans="1:52" s="3" customFormat="1" ht="15.6" customHeight="1" x14ac:dyDescent="0.15">
      <c r="A18" s="49"/>
      <c r="B18" s="597" t="s">
        <v>199</v>
      </c>
      <c r="C18" s="597"/>
      <c r="D18" s="597"/>
      <c r="E18" s="597"/>
      <c r="F18" s="597"/>
      <c r="G18" s="597"/>
      <c r="H18" s="597"/>
      <c r="I18" s="598">
        <f>2550+3</f>
        <v>2553</v>
      </c>
      <c r="J18" s="599"/>
      <c r="K18" s="599"/>
      <c r="L18" s="599"/>
      <c r="M18" s="600"/>
      <c r="N18" s="598">
        <f>3241+3</f>
        <v>3244</v>
      </c>
      <c r="O18" s="599"/>
      <c r="P18" s="599"/>
      <c r="Q18" s="599"/>
      <c r="R18" s="600"/>
      <c r="S18" s="570">
        <v>31</v>
      </c>
      <c r="T18" s="571"/>
      <c r="U18" s="571"/>
      <c r="V18" s="571"/>
      <c r="W18" s="572"/>
      <c r="X18" s="576">
        <f>I18/S18</f>
        <v>82.354838709677423</v>
      </c>
      <c r="Y18" s="577"/>
      <c r="Z18" s="577"/>
      <c r="AA18" s="577"/>
      <c r="AB18" s="23"/>
      <c r="AC18" s="578">
        <v>14.476003480666682</v>
      </c>
      <c r="AD18" s="579"/>
      <c r="AE18" s="579"/>
      <c r="AF18" s="579"/>
      <c r="AG18" s="580"/>
      <c r="AH18" s="883"/>
      <c r="AI18" s="884"/>
      <c r="AJ18" s="884"/>
      <c r="AK18" s="884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38"/>
      <c r="AX18" s="301"/>
      <c r="AY18" s="301"/>
      <c r="AZ18" s="79"/>
    </row>
    <row r="19" spans="1:52" s="1" customFormat="1" ht="15.6" customHeight="1" x14ac:dyDescent="0.15">
      <c r="A19" s="49"/>
      <c r="B19" s="326"/>
      <c r="C19" s="16"/>
      <c r="D19" s="590" t="s">
        <v>79</v>
      </c>
      <c r="E19" s="590"/>
      <c r="F19" s="590"/>
      <c r="G19" s="590"/>
      <c r="H19" s="590"/>
      <c r="I19" s="591">
        <v>90</v>
      </c>
      <c r="J19" s="592"/>
      <c r="K19" s="592"/>
      <c r="L19" s="592"/>
      <c r="M19" s="593"/>
      <c r="N19" s="594">
        <v>177</v>
      </c>
      <c r="O19" s="594"/>
      <c r="P19" s="594"/>
      <c r="Q19" s="594"/>
      <c r="R19" s="594"/>
      <c r="S19" s="326"/>
      <c r="T19" s="18"/>
      <c r="U19" s="16"/>
      <c r="V19" s="16"/>
      <c r="W19" s="16"/>
      <c r="X19" s="16"/>
      <c r="Y19" s="16"/>
      <c r="Z19" s="16"/>
      <c r="AA19" s="16"/>
      <c r="AB19" s="300"/>
      <c r="AC19" s="300"/>
      <c r="AD19" s="300"/>
      <c r="AE19" s="300"/>
      <c r="AF19" s="16"/>
      <c r="AG19" s="16"/>
      <c r="AH19" s="16"/>
      <c r="AI19" s="71"/>
      <c r="AJ19" s="16"/>
      <c r="AK19" s="16"/>
      <c r="AL19" s="16"/>
      <c r="AM19" s="16"/>
      <c r="AN19" s="16"/>
      <c r="AO19" s="16"/>
      <c r="AP19" s="13"/>
      <c r="AQ19" s="13"/>
      <c r="AR19" s="13"/>
      <c r="AS19" s="13"/>
      <c r="AT19" s="13"/>
      <c r="AU19" s="13"/>
      <c r="AY19" s="310"/>
      <c r="AZ19" s="310"/>
    </row>
    <row r="20" spans="1:52" s="1" customFormat="1" ht="15.6" customHeight="1" x14ac:dyDescent="0.15">
      <c r="A20" s="49"/>
      <c r="B20" s="32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545"/>
      <c r="AI20" s="545"/>
      <c r="AJ20" s="545"/>
      <c r="AK20" s="545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Y20" s="310"/>
      <c r="AZ20" s="310"/>
    </row>
    <row r="21" spans="1:52" s="14" customFormat="1" ht="15.6" customHeight="1" x14ac:dyDescent="0.15">
      <c r="A21" s="50" t="s">
        <v>124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24"/>
      <c r="X21" s="24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Y21" s="80"/>
      <c r="AZ21" s="80"/>
    </row>
    <row r="22" spans="1:52" s="14" customFormat="1" ht="15.6" customHeight="1" x14ac:dyDescent="0.15">
      <c r="A22" s="299" t="s">
        <v>171</v>
      </c>
      <c r="B22" s="25"/>
      <c r="C22" s="25"/>
      <c r="D22" s="315"/>
      <c r="E22" s="315"/>
      <c r="F22" s="315"/>
      <c r="G22" s="315"/>
      <c r="H22" s="22"/>
      <c r="I22" s="315"/>
      <c r="J22" s="315"/>
      <c r="K22" s="315"/>
      <c r="L22" s="1" t="s">
        <v>73</v>
      </c>
      <c r="M22" s="22"/>
      <c r="N22" s="315"/>
      <c r="O22" s="315"/>
      <c r="P22" s="315"/>
      <c r="Q22" s="315"/>
      <c r="R22" s="22"/>
      <c r="S22" s="329"/>
      <c r="T22" s="315"/>
      <c r="U22" s="315"/>
      <c r="V22" s="330"/>
      <c r="W22" s="330"/>
      <c r="X22" s="26"/>
      <c r="Y22" s="329"/>
      <c r="Z22" s="329"/>
      <c r="AA22" s="329"/>
      <c r="AB22" s="330"/>
      <c r="AC22" s="315"/>
      <c r="AD22" s="315"/>
      <c r="AE22" s="315"/>
      <c r="AF22" s="315"/>
      <c r="AG22" s="315"/>
      <c r="AH22" s="24"/>
      <c r="AI22" s="24"/>
      <c r="AJ22" s="24"/>
      <c r="AK22" s="24"/>
      <c r="AL22" s="24"/>
      <c r="AM22" s="24"/>
      <c r="AY22" s="80"/>
      <c r="AZ22" s="80"/>
    </row>
    <row r="23" spans="1:52" s="14" customFormat="1" ht="15.6" customHeight="1" x14ac:dyDescent="0.15">
      <c r="A23" s="52"/>
      <c r="B23" s="595" t="s">
        <v>14</v>
      </c>
      <c r="C23" s="595"/>
      <c r="D23" s="595" t="s">
        <v>15</v>
      </c>
      <c r="E23" s="595"/>
      <c r="F23" s="595"/>
      <c r="G23" s="595"/>
      <c r="H23" s="595"/>
      <c r="I23" s="595" t="s">
        <v>16</v>
      </c>
      <c r="J23" s="595"/>
      <c r="K23" s="595"/>
      <c r="L23" s="595"/>
      <c r="M23" s="595"/>
      <c r="N23" s="595" t="s">
        <v>17</v>
      </c>
      <c r="O23" s="595"/>
      <c r="P23" s="595"/>
      <c r="Q23" s="595"/>
      <c r="R23" s="595"/>
      <c r="S23" s="608" t="s">
        <v>18</v>
      </c>
      <c r="T23" s="609"/>
      <c r="U23" s="609"/>
      <c r="V23" s="609"/>
      <c r="W23" s="609"/>
      <c r="X23" s="610"/>
      <c r="Y23" s="608" t="s">
        <v>19</v>
      </c>
      <c r="Z23" s="609"/>
      <c r="AA23" s="609"/>
      <c r="AB23" s="609"/>
      <c r="AC23" s="609"/>
      <c r="AD23" s="610"/>
      <c r="AE23" s="608" t="s">
        <v>72</v>
      </c>
      <c r="AF23" s="609"/>
      <c r="AG23" s="610"/>
      <c r="AH23" s="13"/>
      <c r="AI23" s="13"/>
      <c r="AJ23" s="13"/>
      <c r="AK23" s="13"/>
      <c r="AL23" s="13"/>
      <c r="AM23" s="13"/>
      <c r="AY23" s="80"/>
      <c r="AZ23" s="80"/>
    </row>
    <row r="24" spans="1:52" s="14" customFormat="1" ht="15.6" customHeight="1" x14ac:dyDescent="0.15">
      <c r="A24" s="49"/>
      <c r="B24" s="611" t="s">
        <v>9</v>
      </c>
      <c r="C24" s="611"/>
      <c r="D24" s="612">
        <v>365</v>
      </c>
      <c r="E24" s="612"/>
      <c r="F24" s="612"/>
      <c r="G24" s="612"/>
      <c r="H24" s="612"/>
      <c r="I24" s="612">
        <f>SUM(L25:M28)</f>
        <v>29</v>
      </c>
      <c r="J24" s="612"/>
      <c r="K24" s="612"/>
      <c r="L24" s="612"/>
      <c r="M24" s="612"/>
      <c r="N24" s="612">
        <f>SUM(Q25:R29)</f>
        <v>20</v>
      </c>
      <c r="O24" s="612"/>
      <c r="P24" s="612"/>
      <c r="Q24" s="612"/>
      <c r="R24" s="612"/>
      <c r="S24" s="613">
        <v>327</v>
      </c>
      <c r="T24" s="614"/>
      <c r="U24" s="614"/>
      <c r="V24" s="614"/>
      <c r="W24" s="614"/>
      <c r="X24" s="615"/>
      <c r="Y24" s="613">
        <v>286</v>
      </c>
      <c r="Z24" s="614"/>
      <c r="AA24" s="614"/>
      <c r="AB24" s="614"/>
      <c r="AC24" s="614"/>
      <c r="AD24" s="615"/>
      <c r="AE24" s="613">
        <f>S24-Y24</f>
        <v>41</v>
      </c>
      <c r="AF24" s="614"/>
      <c r="AG24" s="615"/>
      <c r="AH24" s="16"/>
      <c r="AI24" s="13"/>
      <c r="AJ24" s="13"/>
      <c r="AK24" s="16"/>
      <c r="AL24" s="16"/>
      <c r="AM24" s="16"/>
      <c r="AY24" s="80"/>
      <c r="AZ24" s="80"/>
    </row>
    <row r="25" spans="1:52" s="14" customFormat="1" ht="15.6" customHeight="1" x14ac:dyDescent="0.15">
      <c r="A25" s="49"/>
      <c r="B25" s="632" t="s">
        <v>21</v>
      </c>
      <c r="C25" s="633"/>
      <c r="D25" s="624"/>
      <c r="E25" s="625"/>
      <c r="F25" s="625"/>
      <c r="G25" s="626"/>
      <c r="H25" s="627"/>
      <c r="I25" s="57" t="s">
        <v>22</v>
      </c>
      <c r="J25" s="58"/>
      <c r="K25" s="58"/>
      <c r="L25" s="622">
        <v>8</v>
      </c>
      <c r="M25" s="623"/>
      <c r="N25" s="57" t="s">
        <v>62</v>
      </c>
      <c r="O25" s="58"/>
      <c r="P25" s="58"/>
      <c r="Q25" s="622">
        <v>13</v>
      </c>
      <c r="R25" s="623"/>
      <c r="S25" s="306" t="s">
        <v>23</v>
      </c>
      <c r="T25" s="307"/>
      <c r="U25" s="307"/>
      <c r="V25" s="307"/>
      <c r="W25" s="622">
        <v>54</v>
      </c>
      <c r="X25" s="623"/>
      <c r="Y25" s="57" t="s">
        <v>97</v>
      </c>
      <c r="Z25" s="307"/>
      <c r="AA25" s="307"/>
      <c r="AB25" s="307"/>
      <c r="AC25" s="622">
        <v>0</v>
      </c>
      <c r="AD25" s="623"/>
      <c r="AE25" s="318"/>
      <c r="AF25" s="319"/>
      <c r="AG25" s="5"/>
      <c r="AH25" s="16"/>
      <c r="AI25" s="13"/>
      <c r="AJ25" s="13"/>
      <c r="AK25" s="16"/>
      <c r="AL25" s="16"/>
      <c r="AM25" s="16"/>
      <c r="AY25" s="80"/>
      <c r="AZ25" s="80"/>
    </row>
    <row r="26" spans="1:52" s="14" customFormat="1" ht="15.6" customHeight="1" x14ac:dyDescent="0.15">
      <c r="A26" s="49"/>
      <c r="B26" s="634"/>
      <c r="C26" s="635"/>
      <c r="D26" s="620"/>
      <c r="E26" s="621"/>
      <c r="F26" s="621"/>
      <c r="G26" s="621"/>
      <c r="H26" s="59"/>
      <c r="I26" s="60" t="s">
        <v>0</v>
      </c>
      <c r="J26" s="61"/>
      <c r="K26" s="61"/>
      <c r="L26" s="616">
        <v>2</v>
      </c>
      <c r="M26" s="617"/>
      <c r="N26" s="60" t="s">
        <v>3</v>
      </c>
      <c r="O26" s="61"/>
      <c r="P26" s="61"/>
      <c r="Q26" s="616">
        <v>0</v>
      </c>
      <c r="R26" s="617"/>
      <c r="S26" s="304" t="s">
        <v>90</v>
      </c>
      <c r="T26" s="305"/>
      <c r="U26" s="305"/>
      <c r="V26" s="305"/>
      <c r="W26" s="616">
        <v>1</v>
      </c>
      <c r="X26" s="617"/>
      <c r="Y26" s="60" t="s">
        <v>4</v>
      </c>
      <c r="Z26" s="61"/>
      <c r="AA26" s="61"/>
      <c r="AB26" s="61"/>
      <c r="AC26" s="616">
        <v>105</v>
      </c>
      <c r="AD26" s="617"/>
      <c r="AE26" s="316"/>
      <c r="AF26" s="317"/>
      <c r="AG26" s="6"/>
      <c r="AH26" s="16"/>
      <c r="AI26" s="13"/>
      <c r="AJ26" s="13"/>
      <c r="AK26" s="16"/>
      <c r="AL26" s="16"/>
      <c r="AM26" s="16"/>
      <c r="AY26" s="80"/>
      <c r="AZ26" s="80"/>
    </row>
    <row r="27" spans="1:52" s="14" customFormat="1" ht="15.6" customHeight="1" x14ac:dyDescent="0.15">
      <c r="A27" s="49"/>
      <c r="B27" s="634"/>
      <c r="C27" s="635"/>
      <c r="D27" s="620"/>
      <c r="E27" s="621"/>
      <c r="F27" s="621"/>
      <c r="G27" s="621"/>
      <c r="H27" s="59"/>
      <c r="I27" s="60" t="s">
        <v>61</v>
      </c>
      <c r="J27" s="61"/>
      <c r="K27" s="61"/>
      <c r="L27" s="616">
        <v>4</v>
      </c>
      <c r="M27" s="617"/>
      <c r="N27" s="60" t="s">
        <v>0</v>
      </c>
      <c r="O27" s="61"/>
      <c r="P27" s="61"/>
      <c r="Q27" s="616">
        <v>0</v>
      </c>
      <c r="R27" s="617"/>
      <c r="S27" s="304" t="s">
        <v>91</v>
      </c>
      <c r="T27" s="305"/>
      <c r="U27" s="305"/>
      <c r="V27" s="305"/>
      <c r="W27" s="616">
        <v>9</v>
      </c>
      <c r="X27" s="617"/>
      <c r="Y27" s="60" t="s">
        <v>2</v>
      </c>
      <c r="Z27" s="62"/>
      <c r="AA27" s="62"/>
      <c r="AB27" s="62"/>
      <c r="AC27" s="616">
        <v>17</v>
      </c>
      <c r="AD27" s="617"/>
      <c r="AE27" s="316"/>
      <c r="AF27" s="317"/>
      <c r="AG27" s="6"/>
      <c r="AH27" s="16"/>
      <c r="AI27" s="13"/>
      <c r="AJ27" s="13"/>
      <c r="AK27" s="16"/>
      <c r="AL27" s="16"/>
      <c r="AM27" s="16"/>
      <c r="AQ27" s="18"/>
      <c r="AY27" s="80"/>
      <c r="AZ27" s="80"/>
    </row>
    <row r="28" spans="1:52" s="14" customFormat="1" ht="15.6" customHeight="1" x14ac:dyDescent="0.15">
      <c r="A28" s="49"/>
      <c r="B28" s="634"/>
      <c r="C28" s="635"/>
      <c r="D28" s="620"/>
      <c r="E28" s="621"/>
      <c r="F28" s="621"/>
      <c r="G28" s="621"/>
      <c r="H28" s="59"/>
      <c r="I28" s="60" t="s">
        <v>60</v>
      </c>
      <c r="J28" s="61"/>
      <c r="K28" s="61"/>
      <c r="L28" s="616">
        <v>15</v>
      </c>
      <c r="M28" s="617"/>
      <c r="N28" s="60" t="s">
        <v>4</v>
      </c>
      <c r="O28" s="61"/>
      <c r="P28" s="61"/>
      <c r="Q28" s="616">
        <v>0</v>
      </c>
      <c r="R28" s="617"/>
      <c r="S28" s="304" t="s">
        <v>92</v>
      </c>
      <c r="T28" s="305"/>
      <c r="U28" s="305"/>
      <c r="V28" s="305"/>
      <c r="W28" s="616">
        <v>54</v>
      </c>
      <c r="X28" s="617"/>
      <c r="Y28" s="60" t="s">
        <v>98</v>
      </c>
      <c r="Z28" s="61"/>
      <c r="AA28" s="61"/>
      <c r="AB28" s="61"/>
      <c r="AC28" s="616">
        <v>48</v>
      </c>
      <c r="AD28" s="617"/>
      <c r="AE28" s="316"/>
      <c r="AF28" s="317"/>
      <c r="AG28" s="6"/>
      <c r="AH28" s="16"/>
      <c r="AI28" s="13"/>
      <c r="AJ28" s="13"/>
      <c r="AK28" s="16"/>
      <c r="AL28" s="16"/>
      <c r="AM28" s="16"/>
      <c r="AY28" s="80"/>
      <c r="AZ28" s="80"/>
    </row>
    <row r="29" spans="1:52" s="14" customFormat="1" ht="15.6" customHeight="1" x14ac:dyDescent="0.15">
      <c r="A29" s="49"/>
      <c r="B29" s="634"/>
      <c r="C29" s="635"/>
      <c r="D29" s="620"/>
      <c r="E29" s="621"/>
      <c r="F29" s="621"/>
      <c r="G29" s="621"/>
      <c r="H29" s="59"/>
      <c r="I29" s="60"/>
      <c r="J29" s="61"/>
      <c r="K29" s="61"/>
      <c r="L29" s="61"/>
      <c r="M29" s="63"/>
      <c r="N29" s="60" t="s">
        <v>60</v>
      </c>
      <c r="O29" s="61"/>
      <c r="P29" s="61"/>
      <c r="Q29" s="616">
        <v>7</v>
      </c>
      <c r="R29" s="617"/>
      <c r="S29" s="304" t="s">
        <v>94</v>
      </c>
      <c r="T29" s="305"/>
      <c r="U29" s="305"/>
      <c r="V29" s="305"/>
      <c r="W29" s="616">
        <v>16</v>
      </c>
      <c r="X29" s="617"/>
      <c r="Y29" s="60" t="s">
        <v>99</v>
      </c>
      <c r="Z29" s="61"/>
      <c r="AA29" s="61"/>
      <c r="AB29" s="61"/>
      <c r="AC29" s="618">
        <v>3</v>
      </c>
      <c r="AD29" s="619"/>
      <c r="AE29" s="316"/>
      <c r="AF29" s="317"/>
      <c r="AG29" s="6"/>
      <c r="AH29" s="16"/>
      <c r="AI29" s="13"/>
      <c r="AJ29" s="13"/>
      <c r="AK29" s="16"/>
      <c r="AL29" s="16"/>
      <c r="AM29" s="16"/>
      <c r="AY29" s="80"/>
      <c r="AZ29" s="80"/>
    </row>
    <row r="30" spans="1:52" s="14" customFormat="1" ht="15.6" customHeight="1" x14ac:dyDescent="0.15">
      <c r="A30" s="49"/>
      <c r="B30" s="634"/>
      <c r="C30" s="635"/>
      <c r="D30" s="304"/>
      <c r="E30" s="305"/>
      <c r="F30" s="305"/>
      <c r="G30" s="305"/>
      <c r="H30" s="59"/>
      <c r="I30" s="60"/>
      <c r="J30" s="61"/>
      <c r="K30" s="61"/>
      <c r="L30" s="61"/>
      <c r="M30" s="63"/>
      <c r="N30" s="60"/>
      <c r="O30" s="61"/>
      <c r="P30" s="61"/>
      <c r="Q30" s="302"/>
      <c r="R30" s="303"/>
      <c r="S30" s="304" t="s">
        <v>93</v>
      </c>
      <c r="T30" s="305"/>
      <c r="U30" s="305"/>
      <c r="V30" s="305"/>
      <c r="W30" s="616">
        <v>0</v>
      </c>
      <c r="X30" s="617"/>
      <c r="Y30" s="60" t="s">
        <v>100</v>
      </c>
      <c r="Z30" s="61"/>
      <c r="AA30" s="61"/>
      <c r="AB30" s="61"/>
      <c r="AC30" s="618">
        <v>12</v>
      </c>
      <c r="AD30" s="619"/>
      <c r="AE30" s="316"/>
      <c r="AF30" s="317"/>
      <c r="AG30" s="6"/>
      <c r="AH30" s="16"/>
      <c r="AI30" s="13"/>
      <c r="AJ30" s="13"/>
      <c r="AK30" s="16"/>
      <c r="AL30" s="16"/>
      <c r="AM30" s="16"/>
      <c r="AY30" s="80"/>
      <c r="AZ30" s="80"/>
    </row>
    <row r="31" spans="1:52" s="14" customFormat="1" ht="15.6" customHeight="1" x14ac:dyDescent="0.15">
      <c r="A31" s="49"/>
      <c r="B31" s="634"/>
      <c r="C31" s="635"/>
      <c r="D31" s="304"/>
      <c r="E31" s="305"/>
      <c r="F31" s="305"/>
      <c r="G31" s="305"/>
      <c r="H31" s="59"/>
      <c r="I31" s="60"/>
      <c r="J31" s="61"/>
      <c r="K31" s="61"/>
      <c r="L31" s="61"/>
      <c r="M31" s="63"/>
      <c r="N31" s="60"/>
      <c r="O31" s="61"/>
      <c r="P31" s="61"/>
      <c r="Q31" s="302"/>
      <c r="R31" s="303"/>
      <c r="S31" s="304" t="s">
        <v>95</v>
      </c>
      <c r="T31" s="305"/>
      <c r="U31" s="305"/>
      <c r="V31" s="305"/>
      <c r="W31" s="616">
        <v>29</v>
      </c>
      <c r="X31" s="617"/>
      <c r="Y31" s="60" t="s">
        <v>101</v>
      </c>
      <c r="Z31" s="61"/>
      <c r="AA31" s="61"/>
      <c r="AB31" s="61"/>
      <c r="AC31" s="618">
        <v>4</v>
      </c>
      <c r="AD31" s="619"/>
      <c r="AE31" s="316"/>
      <c r="AF31" s="317"/>
      <c r="AG31" s="6"/>
      <c r="AH31" s="16"/>
      <c r="AI31" s="16"/>
      <c r="AJ31" s="16"/>
      <c r="AK31" s="16"/>
      <c r="AL31" s="16"/>
      <c r="AM31" s="16"/>
      <c r="AY31" s="80"/>
      <c r="AZ31" s="80"/>
    </row>
    <row r="32" spans="1:52" s="14" customFormat="1" ht="15.6" customHeight="1" x14ac:dyDescent="0.15">
      <c r="A32" s="49"/>
      <c r="B32" s="634"/>
      <c r="C32" s="635"/>
      <c r="D32" s="304"/>
      <c r="E32" s="305"/>
      <c r="F32" s="305"/>
      <c r="G32" s="305"/>
      <c r="H32" s="59"/>
      <c r="I32" s="60"/>
      <c r="J32" s="61"/>
      <c r="K32" s="61"/>
      <c r="L32" s="61"/>
      <c r="M32" s="63"/>
      <c r="N32" s="60"/>
      <c r="O32" s="61"/>
      <c r="P32" s="61"/>
      <c r="Q32" s="302"/>
      <c r="R32" s="303"/>
      <c r="S32" s="304" t="s">
        <v>96</v>
      </c>
      <c r="T32" s="305"/>
      <c r="U32" s="305"/>
      <c r="V32" s="305"/>
      <c r="W32" s="616">
        <v>1</v>
      </c>
      <c r="X32" s="617"/>
      <c r="Y32" s="60" t="s">
        <v>103</v>
      </c>
      <c r="Z32" s="61"/>
      <c r="AA32" s="61"/>
      <c r="AB32" s="61"/>
      <c r="AC32" s="618">
        <v>22</v>
      </c>
      <c r="AD32" s="619"/>
      <c r="AE32" s="316"/>
      <c r="AF32" s="317"/>
      <c r="AG32" s="6"/>
      <c r="AH32" s="16"/>
      <c r="AI32" s="16"/>
      <c r="AJ32" s="16"/>
      <c r="AK32" s="16"/>
      <c r="AL32" s="16"/>
      <c r="AM32" s="16"/>
      <c r="AY32" s="80"/>
      <c r="AZ32" s="80"/>
    </row>
    <row r="33" spans="1:72" s="14" customFormat="1" ht="15.6" customHeight="1" x14ac:dyDescent="0.15">
      <c r="A33" s="49"/>
      <c r="B33" s="634"/>
      <c r="C33" s="635"/>
      <c r="D33" s="304"/>
      <c r="E33" s="305"/>
      <c r="F33" s="305"/>
      <c r="G33" s="305"/>
      <c r="H33" s="59"/>
      <c r="I33" s="60"/>
      <c r="J33" s="61"/>
      <c r="K33" s="61"/>
      <c r="L33" s="61"/>
      <c r="M33" s="63"/>
      <c r="N33" s="60"/>
      <c r="O33" s="61"/>
      <c r="P33" s="61"/>
      <c r="Q33" s="302"/>
      <c r="R33" s="303"/>
      <c r="S33" s="304" t="s">
        <v>80</v>
      </c>
      <c r="T33" s="305"/>
      <c r="U33" s="305"/>
      <c r="V33" s="305"/>
      <c r="W33" s="616">
        <v>112</v>
      </c>
      <c r="X33" s="617"/>
      <c r="Y33" s="60" t="s">
        <v>104</v>
      </c>
      <c r="Z33" s="61"/>
      <c r="AA33" s="61"/>
      <c r="AB33" s="61"/>
      <c r="AC33" s="618">
        <v>1</v>
      </c>
      <c r="AD33" s="619"/>
      <c r="AE33" s="316"/>
      <c r="AF33" s="317"/>
      <c r="AG33" s="6"/>
      <c r="AH33" s="16"/>
      <c r="AI33" s="16"/>
      <c r="AJ33" s="16"/>
      <c r="AK33" s="16"/>
      <c r="AL33" s="16"/>
      <c r="AM33" s="16"/>
      <c r="AY33" s="80"/>
      <c r="AZ33" s="80"/>
    </row>
    <row r="34" spans="1:72" s="3" customFormat="1" ht="15.6" customHeight="1" x14ac:dyDescent="0.15">
      <c r="A34" s="49"/>
      <c r="B34" s="634"/>
      <c r="C34" s="635"/>
      <c r="D34" s="304"/>
      <c r="E34" s="305"/>
      <c r="F34" s="305"/>
      <c r="G34" s="305"/>
      <c r="H34" s="59"/>
      <c r="I34" s="60"/>
      <c r="J34" s="61"/>
      <c r="K34" s="61"/>
      <c r="L34" s="61"/>
      <c r="M34" s="63"/>
      <c r="N34" s="60"/>
      <c r="O34" s="61"/>
      <c r="P34" s="61"/>
      <c r="Q34" s="302"/>
      <c r="R34" s="303"/>
      <c r="S34" s="304" t="s">
        <v>102</v>
      </c>
      <c r="T34" s="305"/>
      <c r="U34" s="305"/>
      <c r="V34" s="305"/>
      <c r="W34" s="616">
        <v>3</v>
      </c>
      <c r="X34" s="617"/>
      <c r="Y34" s="60" t="s">
        <v>105</v>
      </c>
      <c r="Z34" s="61"/>
      <c r="AA34" s="61"/>
      <c r="AB34" s="61"/>
      <c r="AC34" s="618">
        <v>45</v>
      </c>
      <c r="AD34" s="619"/>
      <c r="AE34" s="316"/>
      <c r="AF34" s="317"/>
      <c r="AG34" s="6"/>
      <c r="AH34" s="16"/>
      <c r="AI34" s="16"/>
      <c r="AJ34" s="16"/>
      <c r="AK34" s="16"/>
      <c r="AL34" s="16"/>
      <c r="AM34" s="16"/>
      <c r="AN34" s="14"/>
      <c r="AO34" s="14"/>
      <c r="AP34" s="14"/>
      <c r="AQ34" s="14"/>
      <c r="AR34" s="14"/>
      <c r="AS34" s="14"/>
      <c r="AT34" s="14"/>
      <c r="AU34" s="14"/>
      <c r="AY34" s="79"/>
      <c r="AZ34" s="79"/>
    </row>
    <row r="35" spans="1:72" s="2" customFormat="1" ht="15.6" customHeight="1" x14ac:dyDescent="0.15">
      <c r="A35" s="49"/>
      <c r="B35" s="636"/>
      <c r="C35" s="637"/>
      <c r="D35" s="628"/>
      <c r="E35" s="629"/>
      <c r="F35" s="629"/>
      <c r="G35" s="629"/>
      <c r="H35" s="64"/>
      <c r="I35" s="65"/>
      <c r="J35" s="66"/>
      <c r="K35" s="66"/>
      <c r="L35" s="66"/>
      <c r="M35" s="67"/>
      <c r="N35" s="65"/>
      <c r="O35" s="66"/>
      <c r="P35" s="66"/>
      <c r="Q35" s="66"/>
      <c r="R35" s="67"/>
      <c r="S35" s="308" t="s">
        <v>24</v>
      </c>
      <c r="T35" s="309"/>
      <c r="U35" s="309"/>
      <c r="V35" s="309"/>
      <c r="W35" s="630">
        <v>48</v>
      </c>
      <c r="X35" s="631"/>
      <c r="Y35" s="65" t="s">
        <v>24</v>
      </c>
      <c r="Z35" s="68"/>
      <c r="AA35" s="66"/>
      <c r="AB35" s="66"/>
      <c r="AC35" s="630">
        <v>29</v>
      </c>
      <c r="AD35" s="631"/>
      <c r="AE35" s="314"/>
      <c r="AF35" s="315"/>
      <c r="AG35" s="8"/>
      <c r="AH35" s="16"/>
      <c r="AI35" s="16"/>
      <c r="AJ35" s="16"/>
      <c r="AK35" s="16"/>
      <c r="AL35" s="16"/>
      <c r="AM35" s="16"/>
      <c r="AN35" s="537"/>
      <c r="AO35" s="537"/>
      <c r="AP35" s="537"/>
      <c r="AQ35" s="537"/>
      <c r="AR35" s="537"/>
      <c r="AS35" s="537"/>
      <c r="AT35" s="537"/>
      <c r="AU35" s="537"/>
      <c r="AY35" s="81"/>
      <c r="AZ35" s="81"/>
    </row>
    <row r="36" spans="1:72" s="14" customFormat="1" ht="15.6" customHeight="1" x14ac:dyDescent="0.15">
      <c r="A36" s="299" t="s">
        <v>200</v>
      </c>
      <c r="B36" s="227"/>
      <c r="C36" s="25"/>
      <c r="D36" s="315"/>
      <c r="E36" s="315"/>
      <c r="F36" s="315"/>
      <c r="G36" s="315"/>
      <c r="H36" s="48"/>
      <c r="I36" s="315"/>
      <c r="J36" s="315"/>
      <c r="K36" s="315"/>
      <c r="L36" s="315"/>
      <c r="M36" s="48"/>
      <c r="N36" s="315"/>
      <c r="O36" s="315"/>
      <c r="P36" s="315"/>
      <c r="Q36" s="315"/>
      <c r="R36" s="22"/>
      <c r="S36" s="329"/>
      <c r="T36" s="315"/>
      <c r="U36" s="315"/>
      <c r="V36" s="315"/>
      <c r="W36" s="330"/>
      <c r="X36" s="330"/>
      <c r="Y36" s="26"/>
      <c r="Z36" s="26"/>
      <c r="AA36" s="329"/>
      <c r="AB36" s="329"/>
      <c r="AC36" s="329"/>
      <c r="AD36" s="330"/>
      <c r="AE36" s="315"/>
      <c r="AF36" s="315"/>
      <c r="AG36" s="315"/>
      <c r="AH36" s="16"/>
      <c r="AI36" s="16"/>
      <c r="AJ36" s="16"/>
      <c r="AK36" s="16"/>
      <c r="AL36" s="18"/>
      <c r="AM36" s="16"/>
      <c r="AN36" s="17"/>
      <c r="AO36" s="10"/>
      <c r="AP36" s="10"/>
      <c r="AQ36" s="74"/>
      <c r="AR36" s="9"/>
      <c r="AS36" s="9"/>
      <c r="AT36" s="9"/>
      <c r="AU36" s="10"/>
      <c r="AV36" s="9"/>
      <c r="AW36" s="9"/>
      <c r="AX36" s="9"/>
      <c r="AY36" s="82"/>
      <c r="AZ36" s="82"/>
      <c r="BA36" s="9"/>
      <c r="BB36" s="9"/>
      <c r="BC36" s="9"/>
      <c r="BD36" s="9"/>
      <c r="BE36" s="10"/>
      <c r="BF36" s="9"/>
      <c r="BG36" s="9"/>
      <c r="BH36" s="9"/>
      <c r="BI36" s="11"/>
      <c r="BJ36" s="11"/>
      <c r="BK36" s="12"/>
      <c r="BL36" s="9"/>
      <c r="BM36" s="9"/>
      <c r="BN36" s="9"/>
      <c r="BO36" s="11"/>
      <c r="BP36" s="9"/>
      <c r="BQ36" s="9"/>
      <c r="BR36" s="9"/>
      <c r="BS36" s="9"/>
      <c r="BT36" s="317"/>
    </row>
    <row r="37" spans="1:72" s="14" customFormat="1" ht="15.6" customHeight="1" x14ac:dyDescent="0.15">
      <c r="A37" s="52"/>
      <c r="B37" s="595" t="s">
        <v>14</v>
      </c>
      <c r="C37" s="595"/>
      <c r="D37" s="595" t="s">
        <v>15</v>
      </c>
      <c r="E37" s="595"/>
      <c r="F37" s="595"/>
      <c r="G37" s="595"/>
      <c r="H37" s="595"/>
      <c r="I37" s="595" t="s">
        <v>16</v>
      </c>
      <c r="J37" s="595"/>
      <c r="K37" s="595"/>
      <c r="L37" s="595"/>
      <c r="M37" s="595"/>
      <c r="N37" s="595" t="s">
        <v>17</v>
      </c>
      <c r="O37" s="595"/>
      <c r="P37" s="595"/>
      <c r="Q37" s="595"/>
      <c r="R37" s="595"/>
      <c r="S37" s="608" t="s">
        <v>18</v>
      </c>
      <c r="T37" s="609"/>
      <c r="U37" s="609"/>
      <c r="V37" s="609"/>
      <c r="W37" s="609"/>
      <c r="X37" s="610"/>
      <c r="Y37" s="608" t="s">
        <v>19</v>
      </c>
      <c r="Z37" s="609"/>
      <c r="AA37" s="609"/>
      <c r="AB37" s="609"/>
      <c r="AC37" s="609"/>
      <c r="AD37" s="610"/>
      <c r="AE37" s="608" t="s">
        <v>72</v>
      </c>
      <c r="AF37" s="609"/>
      <c r="AG37" s="610"/>
      <c r="AH37" s="16"/>
      <c r="AI37" s="16"/>
      <c r="AJ37" s="16"/>
      <c r="AK37" s="16"/>
      <c r="AL37" s="16"/>
      <c r="AM37" s="16"/>
      <c r="AY37" s="80"/>
      <c r="AZ37" s="80"/>
    </row>
    <row r="38" spans="1:72" s="3" customFormat="1" ht="15.6" customHeight="1" x14ac:dyDescent="0.15">
      <c r="A38" s="49"/>
      <c r="B38" s="611" t="s">
        <v>9</v>
      </c>
      <c r="C38" s="611"/>
      <c r="D38" s="612">
        <f>25+35+25+24+27+31</f>
        <v>167</v>
      </c>
      <c r="E38" s="612"/>
      <c r="F38" s="612"/>
      <c r="G38" s="612"/>
      <c r="H38" s="612"/>
      <c r="I38" s="612">
        <f>3+4+5+0+0+0</f>
        <v>12</v>
      </c>
      <c r="J38" s="612"/>
      <c r="K38" s="612"/>
      <c r="L38" s="612"/>
      <c r="M38" s="612"/>
      <c r="N38" s="612">
        <f>1+0+4+1+3+3</f>
        <v>12</v>
      </c>
      <c r="O38" s="612"/>
      <c r="P38" s="612"/>
      <c r="Q38" s="612"/>
      <c r="R38" s="612"/>
      <c r="S38" s="638">
        <f>22+28+20+24+23+26</f>
        <v>143</v>
      </c>
      <c r="T38" s="639"/>
      <c r="U38" s="639"/>
      <c r="V38" s="639"/>
      <c r="W38" s="639"/>
      <c r="X38" s="640"/>
      <c r="Y38" s="638">
        <f>22+22+27+26+21+36</f>
        <v>154</v>
      </c>
      <c r="Z38" s="639"/>
      <c r="AA38" s="639"/>
      <c r="AB38" s="639"/>
      <c r="AC38" s="639"/>
      <c r="AD38" s="640"/>
      <c r="AE38" s="613">
        <f>S38-Y38</f>
        <v>-11</v>
      </c>
      <c r="AF38" s="614"/>
      <c r="AG38" s="615"/>
      <c r="AH38" s="537"/>
      <c r="AI38" s="537"/>
      <c r="AJ38" s="888"/>
      <c r="AK38" s="888"/>
      <c r="AL38" s="888"/>
      <c r="AM38" s="888"/>
      <c r="AN38" s="18"/>
      <c r="AO38" s="14"/>
      <c r="AP38" s="14"/>
      <c r="AQ38" s="14"/>
      <c r="AR38" s="14"/>
      <c r="AS38" s="14"/>
      <c r="AT38" s="14"/>
      <c r="AU38" s="14"/>
      <c r="AY38" s="79"/>
      <c r="AZ38" s="79"/>
    </row>
    <row r="39" spans="1:72" s="3" customFormat="1" ht="15.6" customHeight="1" x14ac:dyDescent="0.15">
      <c r="A39" s="49"/>
      <c r="B39" s="632" t="s">
        <v>202</v>
      </c>
      <c r="C39" s="633"/>
      <c r="D39" s="624"/>
      <c r="E39" s="625"/>
      <c r="F39" s="625"/>
      <c r="G39" s="626"/>
      <c r="H39" s="627"/>
      <c r="I39" s="57" t="s">
        <v>22</v>
      </c>
      <c r="J39" s="58"/>
      <c r="K39" s="58"/>
      <c r="L39" s="622">
        <f>1+1</f>
        <v>2</v>
      </c>
      <c r="M39" s="623"/>
      <c r="N39" s="57" t="s">
        <v>62</v>
      </c>
      <c r="O39" s="58"/>
      <c r="P39" s="58"/>
      <c r="Q39" s="622">
        <f>1+2+0+0+3+3</f>
        <v>9</v>
      </c>
      <c r="R39" s="623"/>
      <c r="S39" s="306" t="s">
        <v>23</v>
      </c>
      <c r="T39" s="307"/>
      <c r="U39" s="307"/>
      <c r="V39" s="307"/>
      <c r="W39" s="622">
        <f>2+5+5+2+0+1</f>
        <v>15</v>
      </c>
      <c r="X39" s="623"/>
      <c r="Y39" s="57" t="s">
        <v>97</v>
      </c>
      <c r="Z39" s="307"/>
      <c r="AA39" s="307"/>
      <c r="AB39" s="307"/>
      <c r="AC39" s="622">
        <f>0+0+0+0+0+0</f>
        <v>0</v>
      </c>
      <c r="AD39" s="623"/>
      <c r="AE39" s="318"/>
      <c r="AF39" s="319"/>
      <c r="AG39" s="5"/>
      <c r="AH39" s="16"/>
      <c r="AI39" s="16"/>
      <c r="AJ39" s="643"/>
      <c r="AK39" s="643"/>
      <c r="AL39" s="643"/>
      <c r="AM39" s="643"/>
      <c r="AN39" s="14"/>
      <c r="AO39" s="14"/>
      <c r="AP39" s="14"/>
      <c r="AQ39" s="14"/>
      <c r="AR39" s="14"/>
      <c r="AS39" s="14"/>
      <c r="AT39" s="14"/>
      <c r="AU39" s="14"/>
      <c r="AY39" s="79"/>
      <c r="AZ39" s="79"/>
    </row>
    <row r="40" spans="1:72" s="3" customFormat="1" ht="15.6" customHeight="1" x14ac:dyDescent="0.15">
      <c r="A40" s="49"/>
      <c r="B40" s="634"/>
      <c r="C40" s="635"/>
      <c r="D40" s="620"/>
      <c r="E40" s="621"/>
      <c r="F40" s="621"/>
      <c r="G40" s="621"/>
      <c r="H40" s="59"/>
      <c r="I40" s="60" t="s">
        <v>0</v>
      </c>
      <c r="J40" s="61"/>
      <c r="K40" s="61"/>
      <c r="L40" s="616">
        <f>1+0</f>
        <v>1</v>
      </c>
      <c r="M40" s="617"/>
      <c r="N40" s="60" t="s">
        <v>3</v>
      </c>
      <c r="O40" s="61"/>
      <c r="P40" s="61"/>
      <c r="Q40" s="616">
        <f>0+0+0+0+0+0</f>
        <v>0</v>
      </c>
      <c r="R40" s="617"/>
      <c r="S40" s="304" t="s">
        <v>90</v>
      </c>
      <c r="T40" s="305"/>
      <c r="U40" s="305"/>
      <c r="V40" s="305"/>
      <c r="W40" s="616">
        <f>0+0+0+0+0+0</f>
        <v>0</v>
      </c>
      <c r="X40" s="617"/>
      <c r="Y40" s="60" t="s">
        <v>4</v>
      </c>
      <c r="Z40" s="61"/>
      <c r="AA40" s="61"/>
      <c r="AB40" s="61"/>
      <c r="AC40" s="616">
        <f>12+7+12+10+9+10</f>
        <v>60</v>
      </c>
      <c r="AD40" s="617"/>
      <c r="AE40" s="316"/>
      <c r="AF40" s="317"/>
      <c r="AG40" s="6"/>
      <c r="AH40" s="16"/>
      <c r="AI40" s="16"/>
      <c r="AJ40" s="16"/>
      <c r="AK40" s="16"/>
      <c r="AL40" s="16"/>
      <c r="AM40" s="16"/>
      <c r="AN40" s="14"/>
      <c r="AO40" s="14"/>
      <c r="AP40" s="14"/>
      <c r="AQ40" s="14"/>
      <c r="AR40" s="14"/>
      <c r="AS40" s="14"/>
      <c r="AT40" s="14"/>
      <c r="AU40" s="14"/>
      <c r="AY40" s="79"/>
      <c r="AZ40" s="79"/>
    </row>
    <row r="41" spans="1:72" s="3" customFormat="1" ht="15.6" customHeight="1" x14ac:dyDescent="0.15">
      <c r="A41" s="49"/>
      <c r="B41" s="634"/>
      <c r="C41" s="635"/>
      <c r="D41" s="620"/>
      <c r="E41" s="621"/>
      <c r="F41" s="621"/>
      <c r="G41" s="621"/>
      <c r="H41" s="59"/>
      <c r="I41" s="60" t="s">
        <v>61</v>
      </c>
      <c r="J41" s="61"/>
      <c r="K41" s="61"/>
      <c r="L41" s="616">
        <f>0+0</f>
        <v>0</v>
      </c>
      <c r="M41" s="617"/>
      <c r="N41" s="60" t="s">
        <v>0</v>
      </c>
      <c r="O41" s="61"/>
      <c r="P41" s="61"/>
      <c r="Q41" s="616">
        <f>0+0+0+0+0+0</f>
        <v>0</v>
      </c>
      <c r="R41" s="617"/>
      <c r="S41" s="304" t="s">
        <v>91</v>
      </c>
      <c r="T41" s="305"/>
      <c r="U41" s="305"/>
      <c r="V41" s="305"/>
      <c r="W41" s="616">
        <f>1+1+0+1+2+4</f>
        <v>9</v>
      </c>
      <c r="X41" s="617"/>
      <c r="Y41" s="60" t="s">
        <v>2</v>
      </c>
      <c r="Z41" s="62"/>
      <c r="AA41" s="62"/>
      <c r="AB41" s="62"/>
      <c r="AC41" s="616">
        <f>1+2+1+0+0+2</f>
        <v>6</v>
      </c>
      <c r="AD41" s="617"/>
      <c r="AE41" s="316"/>
      <c r="AF41" s="317"/>
      <c r="AG41" s="6"/>
      <c r="AH41" s="16"/>
      <c r="AI41" s="16"/>
      <c r="AJ41" s="643"/>
      <c r="AK41" s="643"/>
      <c r="AL41" s="643"/>
      <c r="AM41" s="643"/>
      <c r="AN41" s="14"/>
      <c r="AO41" s="14"/>
      <c r="AP41" s="14"/>
      <c r="AQ41" s="14"/>
      <c r="AR41" s="14"/>
      <c r="AS41" s="14"/>
      <c r="AT41" s="14"/>
      <c r="AU41" s="14"/>
      <c r="AY41" s="79"/>
      <c r="AZ41" s="79"/>
    </row>
    <row r="42" spans="1:72" s="3" customFormat="1" ht="15.6" customHeight="1" x14ac:dyDescent="0.15">
      <c r="A42" s="49"/>
      <c r="B42" s="634"/>
      <c r="C42" s="635"/>
      <c r="D42" s="620"/>
      <c r="E42" s="621"/>
      <c r="F42" s="621"/>
      <c r="G42" s="621"/>
      <c r="H42" s="59"/>
      <c r="I42" s="60" t="s">
        <v>60</v>
      </c>
      <c r="J42" s="61"/>
      <c r="K42" s="61"/>
      <c r="L42" s="616">
        <f>1+3+5</f>
        <v>9</v>
      </c>
      <c r="M42" s="617"/>
      <c r="N42" s="60" t="s">
        <v>4</v>
      </c>
      <c r="O42" s="61"/>
      <c r="P42" s="61"/>
      <c r="Q42" s="616">
        <f>0+0+0+0+0+0</f>
        <v>0</v>
      </c>
      <c r="R42" s="617"/>
      <c r="S42" s="304" t="s">
        <v>92</v>
      </c>
      <c r="T42" s="305"/>
      <c r="U42" s="305"/>
      <c r="V42" s="305"/>
      <c r="W42" s="616">
        <f>6+2+1+3+1+1</f>
        <v>14</v>
      </c>
      <c r="X42" s="617"/>
      <c r="Y42" s="60" t="s">
        <v>98</v>
      </c>
      <c r="Z42" s="61"/>
      <c r="AA42" s="61"/>
      <c r="AB42" s="61"/>
      <c r="AC42" s="616">
        <f>1+3+4+2+3+5</f>
        <v>18</v>
      </c>
      <c r="AD42" s="617"/>
      <c r="AE42" s="316"/>
      <c r="AF42" s="317"/>
      <c r="AG42" s="6"/>
      <c r="AH42" s="16"/>
      <c r="AI42" s="541"/>
      <c r="AJ42" s="16"/>
      <c r="AK42" s="16"/>
      <c r="AL42" s="16"/>
      <c r="AM42" s="16"/>
      <c r="AN42" s="14"/>
      <c r="AO42" s="14"/>
      <c r="AP42" s="14"/>
      <c r="AQ42" s="14"/>
      <c r="AR42" s="14"/>
      <c r="AS42" s="14"/>
      <c r="AT42" s="14"/>
      <c r="AU42" s="14"/>
      <c r="AY42" s="79"/>
      <c r="AZ42" s="79"/>
    </row>
    <row r="43" spans="1:72" s="3" customFormat="1" ht="15.6" customHeight="1" x14ac:dyDescent="0.15">
      <c r="A43" s="49"/>
      <c r="B43" s="634"/>
      <c r="C43" s="635"/>
      <c r="D43" s="620"/>
      <c r="E43" s="621"/>
      <c r="F43" s="621"/>
      <c r="G43" s="621"/>
      <c r="H43" s="59"/>
      <c r="I43" s="60"/>
      <c r="J43" s="61"/>
      <c r="K43" s="61"/>
      <c r="L43" s="61"/>
      <c r="M43" s="63"/>
      <c r="N43" s="60" t="s">
        <v>60</v>
      </c>
      <c r="O43" s="61"/>
      <c r="P43" s="61"/>
      <c r="Q43" s="616">
        <f>0+2+1+0+0+0</f>
        <v>3</v>
      </c>
      <c r="R43" s="617"/>
      <c r="S43" s="304" t="s">
        <v>94</v>
      </c>
      <c r="T43" s="305"/>
      <c r="U43" s="305"/>
      <c r="V43" s="305"/>
      <c r="W43" s="616">
        <f>0+0+0+0+1+1</f>
        <v>2</v>
      </c>
      <c r="X43" s="617"/>
      <c r="Y43" s="60" t="s">
        <v>99</v>
      </c>
      <c r="Z43" s="61"/>
      <c r="AA43" s="61"/>
      <c r="AB43" s="61"/>
      <c r="AC43" s="618">
        <f>0+0+0+0+0+2</f>
        <v>2</v>
      </c>
      <c r="AD43" s="619"/>
      <c r="AE43" s="316"/>
      <c r="AF43" s="317"/>
      <c r="AG43" s="6"/>
      <c r="AH43" s="16"/>
      <c r="AI43" s="541"/>
      <c r="AJ43" s="16"/>
      <c r="AK43" s="16"/>
      <c r="AL43" s="16"/>
      <c r="AM43" s="16"/>
      <c r="AN43" s="14"/>
      <c r="AO43" s="14"/>
      <c r="AP43" s="14"/>
      <c r="AQ43" s="14"/>
      <c r="AR43" s="14"/>
      <c r="AS43" s="14"/>
      <c r="AT43" s="14"/>
      <c r="AU43" s="14"/>
      <c r="AY43" s="79"/>
      <c r="AZ43" s="79"/>
    </row>
    <row r="44" spans="1:72" s="3" customFormat="1" ht="15.6" customHeight="1" x14ac:dyDescent="0.15">
      <c r="A44" s="49"/>
      <c r="B44" s="634"/>
      <c r="C44" s="635"/>
      <c r="D44" s="304"/>
      <c r="E44" s="305"/>
      <c r="F44" s="305"/>
      <c r="G44" s="305"/>
      <c r="H44" s="59"/>
      <c r="I44" s="60"/>
      <c r="J44" s="61"/>
      <c r="K44" s="61"/>
      <c r="L44" s="61"/>
      <c r="M44" s="63"/>
      <c r="N44" s="60"/>
      <c r="O44" s="61"/>
      <c r="P44" s="61"/>
      <c r="Q44" s="302"/>
      <c r="R44" s="303"/>
      <c r="S44" s="304" t="s">
        <v>93</v>
      </c>
      <c r="T44" s="305"/>
      <c r="U44" s="305"/>
      <c r="V44" s="305"/>
      <c r="W44" s="616">
        <f>0+0+0+0+0+0</f>
        <v>0</v>
      </c>
      <c r="X44" s="617"/>
      <c r="Y44" s="60" t="s">
        <v>100</v>
      </c>
      <c r="Z44" s="61"/>
      <c r="AA44" s="61"/>
      <c r="AB44" s="61"/>
      <c r="AC44" s="618">
        <f>0+1+0+3+0+0</f>
        <v>4</v>
      </c>
      <c r="AD44" s="619"/>
      <c r="AE44" s="316"/>
      <c r="AF44" s="317"/>
      <c r="AG44" s="6"/>
      <c r="AH44" s="16"/>
      <c r="AI44" s="541"/>
      <c r="AJ44" s="16"/>
      <c r="AK44" s="16"/>
      <c r="AL44" s="16"/>
      <c r="AM44" s="16"/>
      <c r="AN44" s="14"/>
      <c r="AO44" s="14"/>
      <c r="AP44" s="14"/>
      <c r="AQ44" s="14"/>
      <c r="AR44" s="14"/>
      <c r="AS44" s="14"/>
      <c r="AT44" s="14"/>
      <c r="AU44" s="14"/>
      <c r="AY44" s="79"/>
      <c r="AZ44" s="79"/>
    </row>
    <row r="45" spans="1:72" s="3" customFormat="1" ht="15.6" customHeight="1" x14ac:dyDescent="0.15">
      <c r="A45" s="49"/>
      <c r="B45" s="634"/>
      <c r="C45" s="635"/>
      <c r="D45" s="304"/>
      <c r="E45" s="305"/>
      <c r="F45" s="305"/>
      <c r="G45" s="305"/>
      <c r="H45" s="59"/>
      <c r="I45" s="60"/>
      <c r="J45" s="61"/>
      <c r="K45" s="61"/>
      <c r="L45" s="61"/>
      <c r="M45" s="63"/>
      <c r="N45" s="60"/>
      <c r="O45" s="61"/>
      <c r="P45" s="61"/>
      <c r="Q45" s="302"/>
      <c r="R45" s="303"/>
      <c r="S45" s="304" t="s">
        <v>95</v>
      </c>
      <c r="T45" s="305"/>
      <c r="U45" s="305"/>
      <c r="V45" s="305"/>
      <c r="W45" s="616">
        <f>0+3+4+3+0+0</f>
        <v>10</v>
      </c>
      <c r="X45" s="617"/>
      <c r="Y45" s="60" t="s">
        <v>101</v>
      </c>
      <c r="Z45" s="61"/>
      <c r="AA45" s="61"/>
      <c r="AB45" s="61"/>
      <c r="AC45" s="618">
        <f>0+0+0+0+1+0</f>
        <v>1</v>
      </c>
      <c r="AD45" s="619"/>
      <c r="AE45" s="316"/>
      <c r="AF45" s="317"/>
      <c r="AG45" s="6"/>
      <c r="AH45" s="16"/>
      <c r="AI45" s="541"/>
      <c r="AJ45" s="16"/>
      <c r="AK45" s="16"/>
      <c r="AL45" s="16"/>
      <c r="AM45" s="16"/>
      <c r="AN45" s="14"/>
      <c r="AO45" s="14"/>
      <c r="AP45" s="14"/>
      <c r="AQ45" s="14"/>
      <c r="AR45" s="14"/>
      <c r="AS45" s="14"/>
      <c r="AT45" s="14"/>
      <c r="AU45" s="14"/>
      <c r="AY45" s="79"/>
      <c r="AZ45" s="79"/>
    </row>
    <row r="46" spans="1:72" s="3" customFormat="1" ht="15.6" customHeight="1" x14ac:dyDescent="0.15">
      <c r="A46" s="49"/>
      <c r="B46" s="634"/>
      <c r="C46" s="635"/>
      <c r="D46" s="304"/>
      <c r="E46" s="305"/>
      <c r="F46" s="305"/>
      <c r="G46" s="305"/>
      <c r="H46" s="59"/>
      <c r="I46" s="60"/>
      <c r="J46" s="61"/>
      <c r="K46" s="61"/>
      <c r="L46" s="61"/>
      <c r="M46" s="63"/>
      <c r="N46" s="60"/>
      <c r="O46" s="61"/>
      <c r="P46" s="61"/>
      <c r="Q46" s="302"/>
      <c r="R46" s="303"/>
      <c r="S46" s="304" t="s">
        <v>96</v>
      </c>
      <c r="T46" s="305"/>
      <c r="U46" s="305"/>
      <c r="V46" s="305"/>
      <c r="W46" s="616">
        <f>0+0+1+0+0+0</f>
        <v>1</v>
      </c>
      <c r="X46" s="617"/>
      <c r="Y46" s="60" t="s">
        <v>103</v>
      </c>
      <c r="Z46" s="61"/>
      <c r="AA46" s="61"/>
      <c r="AB46" s="61"/>
      <c r="AC46" s="618">
        <f>1+5+1+1+3+2</f>
        <v>13</v>
      </c>
      <c r="AD46" s="619"/>
      <c r="AE46" s="316"/>
      <c r="AF46" s="317"/>
      <c r="AG46" s="6"/>
      <c r="AH46" s="16"/>
      <c r="AI46" s="541"/>
      <c r="AJ46" s="16"/>
      <c r="AK46" s="16"/>
      <c r="AL46" s="16"/>
      <c r="AM46" s="16"/>
      <c r="AN46" s="14"/>
      <c r="AO46" s="14"/>
      <c r="AP46" s="14"/>
      <c r="AQ46" s="14"/>
      <c r="AR46" s="14"/>
      <c r="AS46" s="14"/>
      <c r="AT46" s="14"/>
      <c r="AU46" s="14"/>
      <c r="AY46" s="79"/>
      <c r="AZ46" s="79"/>
    </row>
    <row r="47" spans="1:72" s="3" customFormat="1" ht="15.6" customHeight="1" x14ac:dyDescent="0.15">
      <c r="A47" s="49"/>
      <c r="B47" s="634"/>
      <c r="C47" s="635"/>
      <c r="D47" s="304"/>
      <c r="E47" s="305"/>
      <c r="F47" s="305"/>
      <c r="G47" s="305"/>
      <c r="H47" s="59"/>
      <c r="I47" s="60"/>
      <c r="J47" s="61"/>
      <c r="K47" s="61"/>
      <c r="L47" s="61"/>
      <c r="M47" s="63"/>
      <c r="N47" s="60"/>
      <c r="O47" s="61"/>
      <c r="P47" s="61"/>
      <c r="Q47" s="302"/>
      <c r="R47" s="303"/>
      <c r="S47" s="304" t="s">
        <v>80</v>
      </c>
      <c r="T47" s="305"/>
      <c r="U47" s="305"/>
      <c r="V47" s="305"/>
      <c r="W47" s="616">
        <f>12+14+8+14+16+16</f>
        <v>80</v>
      </c>
      <c r="X47" s="617"/>
      <c r="Y47" s="60" t="s">
        <v>104</v>
      </c>
      <c r="Z47" s="61"/>
      <c r="AA47" s="61"/>
      <c r="AB47" s="61"/>
      <c r="AC47" s="618">
        <f>0+0+0+1+0+1</f>
        <v>2</v>
      </c>
      <c r="AD47" s="619"/>
      <c r="AE47" s="316"/>
      <c r="AF47" s="317"/>
      <c r="AG47" s="6"/>
      <c r="AH47" s="16"/>
      <c r="AI47" s="16"/>
      <c r="AJ47" s="16"/>
      <c r="AK47" s="16"/>
      <c r="AL47" s="16"/>
      <c r="AM47" s="16"/>
      <c r="AN47" s="14"/>
      <c r="AO47" s="14"/>
      <c r="AP47" s="14"/>
      <c r="AQ47" s="14"/>
      <c r="AR47" s="14"/>
      <c r="AS47" s="14"/>
      <c r="AT47" s="14"/>
      <c r="AU47" s="14"/>
      <c r="AY47" s="79"/>
      <c r="AZ47" s="79"/>
    </row>
    <row r="48" spans="1:72" s="3" customFormat="1" ht="15.6" customHeight="1" x14ac:dyDescent="0.15">
      <c r="A48" s="49"/>
      <c r="B48" s="634"/>
      <c r="C48" s="635"/>
      <c r="D48" s="304"/>
      <c r="E48" s="305"/>
      <c r="F48" s="305"/>
      <c r="G48" s="305"/>
      <c r="H48" s="59"/>
      <c r="I48" s="60"/>
      <c r="J48" s="61"/>
      <c r="K48" s="61"/>
      <c r="L48" s="61"/>
      <c r="M48" s="63"/>
      <c r="N48" s="60"/>
      <c r="O48" s="61"/>
      <c r="P48" s="61"/>
      <c r="Q48" s="302"/>
      <c r="R48" s="303"/>
      <c r="S48" s="304" t="s">
        <v>102</v>
      </c>
      <c r="T48" s="305"/>
      <c r="U48" s="305"/>
      <c r="V48" s="305"/>
      <c r="W48" s="616">
        <f>0+0+0+0+1+1</f>
        <v>2</v>
      </c>
      <c r="X48" s="617"/>
      <c r="Y48" s="60" t="s">
        <v>105</v>
      </c>
      <c r="Z48" s="61"/>
      <c r="AA48" s="61"/>
      <c r="AB48" s="61"/>
      <c r="AC48" s="618">
        <f>2+4+7+1+4+10</f>
        <v>28</v>
      </c>
      <c r="AD48" s="619"/>
      <c r="AE48" s="316"/>
      <c r="AF48" s="317"/>
      <c r="AG48" s="6"/>
      <c r="AH48" s="16"/>
      <c r="AI48" s="16"/>
      <c r="AJ48" s="16"/>
      <c r="AK48" s="16"/>
      <c r="AL48" s="16"/>
      <c r="AM48" s="16"/>
      <c r="AN48" s="14"/>
      <c r="AO48" s="14"/>
      <c r="AP48" s="14"/>
      <c r="AQ48" s="14"/>
      <c r="AR48" s="14"/>
      <c r="AS48" s="14"/>
      <c r="AT48" s="14"/>
      <c r="AU48" s="14"/>
      <c r="AY48" s="79"/>
      <c r="AZ48" s="79"/>
    </row>
    <row r="49" spans="1:52" s="3" customFormat="1" ht="15.6" customHeight="1" x14ac:dyDescent="0.15">
      <c r="A49" s="49"/>
      <c r="B49" s="636"/>
      <c r="C49" s="637"/>
      <c r="D49" s="628"/>
      <c r="E49" s="629"/>
      <c r="F49" s="629"/>
      <c r="G49" s="629"/>
      <c r="H49" s="64"/>
      <c r="I49" s="65"/>
      <c r="J49" s="66"/>
      <c r="K49" s="66"/>
      <c r="L49" s="66"/>
      <c r="M49" s="67"/>
      <c r="N49" s="65"/>
      <c r="O49" s="66"/>
      <c r="P49" s="66"/>
      <c r="Q49" s="66"/>
      <c r="R49" s="67"/>
      <c r="S49" s="308" t="s">
        <v>24</v>
      </c>
      <c r="T49" s="309"/>
      <c r="U49" s="309"/>
      <c r="V49" s="309"/>
      <c r="W49" s="630">
        <f>1+3+1+1+2+2</f>
        <v>10</v>
      </c>
      <c r="X49" s="631"/>
      <c r="Y49" s="65" t="s">
        <v>24</v>
      </c>
      <c r="Z49" s="68"/>
      <c r="AA49" s="66"/>
      <c r="AB49" s="66"/>
      <c r="AC49" s="630">
        <f>5+0+2+8+1+4</f>
        <v>20</v>
      </c>
      <c r="AD49" s="631"/>
      <c r="AE49" s="314"/>
      <c r="AF49" s="315"/>
      <c r="AG49" s="8"/>
      <c r="AH49" s="16"/>
      <c r="AI49" s="16"/>
      <c r="AJ49" s="16"/>
      <c r="AK49" s="16"/>
      <c r="AL49" s="16"/>
      <c r="AM49" s="16"/>
      <c r="AN49" s="14"/>
      <c r="AO49" s="14"/>
      <c r="AP49" s="14"/>
      <c r="AQ49" s="14"/>
      <c r="AR49" s="14"/>
      <c r="AS49" s="14"/>
      <c r="AT49" s="14"/>
      <c r="AU49" s="14"/>
      <c r="AY49" s="79"/>
      <c r="AZ49" s="79"/>
    </row>
    <row r="50" spans="1:52" s="3" customFormat="1" ht="15.6" customHeight="1" x14ac:dyDescent="0.15">
      <c r="A50" s="49"/>
      <c r="B50" s="324"/>
      <c r="C50" s="324"/>
      <c r="D50" s="317"/>
      <c r="E50" s="317"/>
      <c r="F50" s="317"/>
      <c r="G50" s="317"/>
      <c r="H50" s="317"/>
      <c r="I50" s="317"/>
      <c r="J50" s="317"/>
      <c r="K50" s="317"/>
      <c r="L50" s="317"/>
      <c r="M50" s="317"/>
      <c r="N50" s="317"/>
      <c r="O50" s="317"/>
      <c r="P50" s="327"/>
      <c r="Q50" s="327"/>
      <c r="R50" s="324"/>
      <c r="S50" s="317"/>
      <c r="T50" s="317"/>
      <c r="U50" s="317"/>
      <c r="V50" s="317"/>
      <c r="W50" s="325"/>
      <c r="X50" s="325"/>
      <c r="Y50" s="327"/>
      <c r="Z50" s="37"/>
      <c r="AA50" s="327"/>
      <c r="AB50" s="327"/>
      <c r="AC50" s="325"/>
      <c r="AD50" s="325"/>
      <c r="AE50" s="317"/>
      <c r="AF50" s="317"/>
      <c r="AG50" s="317"/>
      <c r="AH50" s="16"/>
      <c r="AI50" s="16"/>
      <c r="AJ50" s="16"/>
      <c r="AK50" s="16"/>
      <c r="AL50" s="16"/>
      <c r="AM50" s="16"/>
      <c r="AN50" s="14"/>
      <c r="AO50" s="14"/>
      <c r="AP50" s="14"/>
      <c r="AQ50" s="14"/>
      <c r="AR50" s="14"/>
      <c r="AS50" s="14"/>
      <c r="AT50" s="14"/>
      <c r="AU50" s="14"/>
      <c r="AY50" s="79"/>
      <c r="AZ50" s="79"/>
    </row>
    <row r="51" spans="1:52" s="3" customFormat="1" ht="15.6" customHeight="1" x14ac:dyDescent="0.15">
      <c r="A51" s="49"/>
      <c r="B51" s="324"/>
      <c r="C51" s="324"/>
      <c r="D51" s="317"/>
      <c r="E51" s="317"/>
      <c r="F51" s="317"/>
      <c r="G51" s="317"/>
      <c r="H51" s="317"/>
      <c r="I51" s="317"/>
      <c r="J51" s="317"/>
      <c r="K51" s="317"/>
      <c r="L51" s="317"/>
      <c r="M51" s="317"/>
      <c r="N51" s="317"/>
      <c r="O51" s="317"/>
      <c r="P51" s="327"/>
      <c r="Q51" s="327"/>
      <c r="R51" s="324"/>
      <c r="S51" s="317"/>
      <c r="T51" s="317"/>
      <c r="U51" s="317"/>
      <c r="V51" s="317"/>
      <c r="W51" s="325"/>
      <c r="X51" s="325"/>
      <c r="Y51" s="327"/>
      <c r="Z51" s="37"/>
      <c r="AA51" s="327"/>
      <c r="AB51" s="327"/>
      <c r="AC51" s="325"/>
      <c r="AD51" s="325"/>
      <c r="AE51" s="317"/>
      <c r="AF51" s="317"/>
      <c r="AG51" s="317"/>
      <c r="AH51" s="16"/>
      <c r="AI51" s="16"/>
      <c r="AJ51" s="16"/>
      <c r="AK51" s="16"/>
      <c r="AL51" s="16"/>
      <c r="AM51" s="16"/>
      <c r="AN51" s="14"/>
      <c r="AO51" s="14"/>
      <c r="AP51" s="14"/>
      <c r="AQ51" s="14"/>
      <c r="AR51" s="14"/>
      <c r="AS51" s="14"/>
      <c r="AT51" s="14"/>
      <c r="AU51" s="14"/>
      <c r="AY51" s="79"/>
      <c r="AZ51" s="79"/>
    </row>
    <row r="52" spans="1:52" s="3" customFormat="1" ht="15.6" customHeight="1" x14ac:dyDescent="0.15">
      <c r="A52" s="49"/>
      <c r="B52" s="324"/>
      <c r="C52" s="324"/>
      <c r="D52" s="317"/>
      <c r="E52" s="317"/>
      <c r="F52" s="317"/>
      <c r="G52" s="317"/>
      <c r="H52" s="317"/>
      <c r="I52" s="317"/>
      <c r="J52" s="317"/>
      <c r="K52" s="317"/>
      <c r="L52" s="317"/>
      <c r="M52" s="317"/>
      <c r="N52" s="317"/>
      <c r="O52" s="317"/>
      <c r="P52" s="327"/>
      <c r="Q52" s="327"/>
      <c r="R52" s="324"/>
      <c r="S52" s="317"/>
      <c r="T52" s="317"/>
      <c r="U52" s="317"/>
      <c r="V52" s="317"/>
      <c r="W52" s="325"/>
      <c r="X52" s="325"/>
      <c r="Y52" s="327"/>
      <c r="Z52" s="37"/>
      <c r="AA52" s="327"/>
      <c r="AB52" s="327"/>
      <c r="AC52" s="325"/>
      <c r="AD52" s="325"/>
      <c r="AE52" s="317"/>
      <c r="AF52" s="317"/>
      <c r="AG52" s="317"/>
      <c r="AH52" s="16"/>
      <c r="AI52" s="16"/>
      <c r="AJ52" s="16"/>
      <c r="AK52" s="16"/>
      <c r="AL52" s="16"/>
      <c r="AM52" s="16"/>
      <c r="AN52" s="14"/>
      <c r="AO52" s="14"/>
      <c r="AP52" s="14"/>
      <c r="AQ52" s="14"/>
      <c r="AR52" s="14"/>
      <c r="AS52" s="14"/>
      <c r="AT52" s="14"/>
      <c r="AU52" s="14"/>
      <c r="AY52" s="79"/>
      <c r="AZ52" s="79"/>
    </row>
    <row r="53" spans="1:52" s="3" customFormat="1" ht="15.6" customHeight="1" x14ac:dyDescent="0.15">
      <c r="A53" s="49"/>
      <c r="B53" s="324"/>
      <c r="C53" s="324"/>
      <c r="D53" s="317"/>
      <c r="E53" s="317"/>
      <c r="F53" s="317"/>
      <c r="G53" s="317"/>
      <c r="H53" s="317"/>
      <c r="I53" s="317"/>
      <c r="J53" s="317"/>
      <c r="K53" s="317"/>
      <c r="L53" s="317"/>
      <c r="M53" s="317"/>
      <c r="N53" s="317"/>
      <c r="O53" s="317"/>
      <c r="P53" s="327"/>
      <c r="Q53" s="327"/>
      <c r="R53" s="324"/>
      <c r="S53" s="317"/>
      <c r="T53" s="317"/>
      <c r="U53" s="317"/>
      <c r="V53" s="317"/>
      <c r="W53" s="325"/>
      <c r="X53" s="325"/>
      <c r="Y53" s="327"/>
      <c r="Z53" s="37"/>
      <c r="AA53" s="327"/>
      <c r="AB53" s="327"/>
      <c r="AC53" s="325"/>
      <c r="AD53" s="325"/>
      <c r="AE53" s="317"/>
      <c r="AF53" s="317"/>
      <c r="AG53" s="317"/>
      <c r="AH53" s="16"/>
      <c r="AI53" s="16"/>
      <c r="AJ53" s="16"/>
      <c r="AK53" s="16"/>
      <c r="AL53" s="16"/>
      <c r="AM53" s="16"/>
      <c r="AN53" s="14"/>
      <c r="AO53" s="14"/>
      <c r="AP53" s="14"/>
      <c r="AQ53" s="14"/>
      <c r="AR53" s="14"/>
      <c r="AS53" s="14"/>
      <c r="AT53" s="14"/>
      <c r="AU53" s="14"/>
      <c r="AY53" s="79"/>
      <c r="AZ53" s="79"/>
    </row>
    <row r="54" spans="1:52" s="3" customFormat="1" ht="15.6" customHeight="1" x14ac:dyDescent="0.15">
      <c r="A54" s="49"/>
      <c r="B54" s="324"/>
      <c r="C54" s="324"/>
      <c r="D54" s="317"/>
      <c r="E54" s="317"/>
      <c r="F54" s="317"/>
      <c r="G54" s="317"/>
      <c r="H54" s="317"/>
      <c r="I54" s="317"/>
      <c r="J54" s="317"/>
      <c r="K54" s="317"/>
      <c r="L54" s="317"/>
      <c r="M54" s="317"/>
      <c r="N54" s="317"/>
      <c r="O54" s="317"/>
      <c r="P54" s="327"/>
      <c r="Q54" s="327"/>
      <c r="R54" s="324"/>
      <c r="S54" s="317"/>
      <c r="T54" s="317"/>
      <c r="U54" s="317"/>
      <c r="V54" s="317"/>
      <c r="W54" s="325"/>
      <c r="X54" s="325"/>
      <c r="Y54" s="327"/>
      <c r="Z54" s="37"/>
      <c r="AA54" s="327"/>
      <c r="AB54" s="327"/>
      <c r="AC54" s="325"/>
      <c r="AD54" s="325"/>
      <c r="AE54" s="317"/>
      <c r="AF54" s="317"/>
      <c r="AG54" s="317"/>
      <c r="AH54" s="16"/>
      <c r="AI54" s="16"/>
      <c r="AJ54" s="16"/>
      <c r="AK54" s="16"/>
      <c r="AL54" s="16"/>
      <c r="AM54" s="16"/>
      <c r="AN54" s="14"/>
      <c r="AO54" s="14"/>
      <c r="AP54" s="14"/>
      <c r="AQ54" s="14"/>
      <c r="AR54" s="14"/>
      <c r="AS54" s="14"/>
      <c r="AT54" s="14"/>
      <c r="AU54" s="14"/>
      <c r="AY54" s="79"/>
      <c r="AZ54" s="79"/>
    </row>
    <row r="55" spans="1:52" s="3" customFormat="1" ht="15.6" customHeight="1" x14ac:dyDescent="0.15">
      <c r="A55" s="50" t="s">
        <v>125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4"/>
      <c r="AO55" s="14"/>
      <c r="AP55" s="14"/>
      <c r="AQ55" s="14"/>
      <c r="AR55" s="14"/>
      <c r="AS55" s="14"/>
      <c r="AT55" s="14"/>
      <c r="AU55" s="14"/>
      <c r="AY55" s="79"/>
      <c r="AZ55" s="79"/>
    </row>
    <row r="56" spans="1:52" s="3" customFormat="1" ht="15.6" customHeight="1" x14ac:dyDescent="0.15">
      <c r="A56" s="54"/>
      <c r="B56" s="644" t="s">
        <v>25</v>
      </c>
      <c r="C56" s="645"/>
      <c r="D56" s="645"/>
      <c r="E56" s="646"/>
      <c r="F56" s="647" t="s">
        <v>26</v>
      </c>
      <c r="G56" s="647"/>
      <c r="H56" s="647"/>
      <c r="I56" s="647"/>
      <c r="J56" s="647" t="s">
        <v>83</v>
      </c>
      <c r="K56" s="647"/>
      <c r="L56" s="647"/>
      <c r="M56" s="647"/>
      <c r="N56" s="647" t="s">
        <v>27</v>
      </c>
      <c r="O56" s="647"/>
      <c r="P56" s="647"/>
      <c r="Q56" s="647"/>
      <c r="R56" s="647" t="s">
        <v>84</v>
      </c>
      <c r="S56" s="647"/>
      <c r="T56" s="647"/>
      <c r="U56" s="647"/>
      <c r="V56" s="647" t="s">
        <v>85</v>
      </c>
      <c r="W56" s="647"/>
      <c r="X56" s="647"/>
      <c r="Y56" s="647"/>
      <c r="Z56" s="647" t="s">
        <v>28</v>
      </c>
      <c r="AA56" s="647"/>
      <c r="AB56" s="647"/>
      <c r="AC56" s="647"/>
      <c r="AD56" s="644" t="s">
        <v>29</v>
      </c>
      <c r="AE56" s="645"/>
      <c r="AF56" s="645"/>
      <c r="AG56" s="646"/>
      <c r="AH56" s="16"/>
      <c r="AI56" s="16"/>
      <c r="AJ56" s="16"/>
      <c r="AK56" s="16"/>
      <c r="AL56" s="16"/>
      <c r="AM56" s="16"/>
      <c r="AN56" s="14"/>
      <c r="AO56" s="14"/>
      <c r="AP56" s="14"/>
      <c r="AQ56" s="14"/>
      <c r="AR56" s="14"/>
      <c r="AS56" s="14"/>
      <c r="AT56" s="14"/>
      <c r="AU56" s="14"/>
      <c r="AY56" s="79"/>
      <c r="AZ56" s="79"/>
    </row>
    <row r="57" spans="1:52" s="14" customFormat="1" ht="15.6" customHeight="1" x14ac:dyDescent="0.15">
      <c r="B57" s="701" t="s">
        <v>201</v>
      </c>
      <c r="C57" s="702"/>
      <c r="D57" s="702"/>
      <c r="E57" s="703"/>
      <c r="F57" s="829" t="s">
        <v>9</v>
      </c>
      <c r="G57" s="830"/>
      <c r="H57" s="830"/>
      <c r="I57" s="831"/>
      <c r="J57" s="613">
        <f>1282+3</f>
        <v>1285</v>
      </c>
      <c r="K57" s="614"/>
      <c r="L57" s="614"/>
      <c r="M57" s="615"/>
      <c r="N57" s="613">
        <v>111</v>
      </c>
      <c r="O57" s="614"/>
      <c r="P57" s="614"/>
      <c r="Q57" s="615"/>
      <c r="R57" s="613">
        <v>371</v>
      </c>
      <c r="S57" s="614"/>
      <c r="T57" s="614"/>
      <c r="U57" s="615"/>
      <c r="V57" s="613">
        <v>290</v>
      </c>
      <c r="W57" s="614"/>
      <c r="X57" s="614"/>
      <c r="Y57" s="615"/>
      <c r="Z57" s="613">
        <v>496</v>
      </c>
      <c r="AA57" s="614"/>
      <c r="AB57" s="614"/>
      <c r="AC57" s="615"/>
      <c r="AD57" s="613">
        <f>SUM(J57:AC57)</f>
        <v>2553</v>
      </c>
      <c r="AE57" s="614"/>
      <c r="AF57" s="614"/>
      <c r="AG57" s="615"/>
      <c r="AQ57" s="85"/>
      <c r="AR57" s="85"/>
      <c r="AY57" s="80"/>
      <c r="AZ57" s="80"/>
    </row>
    <row r="58" spans="1:52" s="14" customFormat="1" ht="15.6" customHeight="1" x14ac:dyDescent="0.15">
      <c r="B58" s="711"/>
      <c r="C58" s="712"/>
      <c r="D58" s="712"/>
      <c r="E58" s="713"/>
      <c r="F58" s="832" t="s">
        <v>30</v>
      </c>
      <c r="G58" s="833"/>
      <c r="H58" s="833"/>
      <c r="I58" s="834"/>
      <c r="J58" s="835">
        <f>J57/$AD$57</f>
        <v>0.50332941637289463</v>
      </c>
      <c r="K58" s="836"/>
      <c r="L58" s="836"/>
      <c r="M58" s="837"/>
      <c r="N58" s="835">
        <v>4.4999999999999998E-2</v>
      </c>
      <c r="O58" s="836"/>
      <c r="P58" s="836"/>
      <c r="Q58" s="837"/>
      <c r="R58" s="835">
        <f>R57/$AD$57</f>
        <v>0.14531923227575402</v>
      </c>
      <c r="S58" s="836"/>
      <c r="T58" s="836"/>
      <c r="U58" s="837"/>
      <c r="V58" s="835">
        <f>V57/$AD$57</f>
        <v>0.1135918527222875</v>
      </c>
      <c r="W58" s="836"/>
      <c r="X58" s="836"/>
      <c r="Y58" s="837"/>
      <c r="Z58" s="835">
        <v>0.193</v>
      </c>
      <c r="AA58" s="836"/>
      <c r="AB58" s="836"/>
      <c r="AC58" s="837"/>
      <c r="AD58" s="835">
        <v>1</v>
      </c>
      <c r="AE58" s="836"/>
      <c r="AF58" s="836"/>
      <c r="AG58" s="837"/>
      <c r="AJ58" s="84"/>
      <c r="AQ58" s="653"/>
      <c r="AR58" s="654"/>
      <c r="AY58" s="80"/>
      <c r="AZ58" s="80"/>
    </row>
    <row r="59" spans="1:52" s="14" customFormat="1" ht="15.6" customHeight="1" x14ac:dyDescent="0.15">
      <c r="B59" s="701" t="s">
        <v>158</v>
      </c>
      <c r="C59" s="702"/>
      <c r="D59" s="702"/>
      <c r="E59" s="703"/>
      <c r="F59" s="829" t="s">
        <v>9</v>
      </c>
      <c r="G59" s="830"/>
      <c r="H59" s="830"/>
      <c r="I59" s="831"/>
      <c r="J59" s="613">
        <v>1256</v>
      </c>
      <c r="K59" s="614"/>
      <c r="L59" s="614"/>
      <c r="M59" s="615"/>
      <c r="N59" s="613">
        <v>122</v>
      </c>
      <c r="O59" s="614"/>
      <c r="P59" s="614"/>
      <c r="Q59" s="615"/>
      <c r="R59" s="613">
        <v>370</v>
      </c>
      <c r="S59" s="614"/>
      <c r="T59" s="614"/>
      <c r="U59" s="615"/>
      <c r="V59" s="613">
        <v>285</v>
      </c>
      <c r="W59" s="614"/>
      <c r="X59" s="614"/>
      <c r="Y59" s="615"/>
      <c r="Z59" s="613">
        <v>504</v>
      </c>
      <c r="AA59" s="614"/>
      <c r="AB59" s="614"/>
      <c r="AC59" s="615"/>
      <c r="AD59" s="613">
        <v>2537</v>
      </c>
      <c r="AE59" s="614"/>
      <c r="AF59" s="614"/>
      <c r="AG59" s="615"/>
      <c r="AJ59" s="84"/>
      <c r="AQ59" s="654"/>
      <c r="AR59" s="654"/>
      <c r="AY59" s="80"/>
      <c r="AZ59" s="80"/>
    </row>
    <row r="60" spans="1:52" s="14" customFormat="1" ht="15.6" customHeight="1" x14ac:dyDescent="0.15">
      <c r="B60" s="711"/>
      <c r="C60" s="712"/>
      <c r="D60" s="712"/>
      <c r="E60" s="713"/>
      <c r="F60" s="832" t="s">
        <v>30</v>
      </c>
      <c r="G60" s="833"/>
      <c r="H60" s="833"/>
      <c r="I60" s="834"/>
      <c r="J60" s="835">
        <f>J59/$AD$59</f>
        <v>0.49507292077256604</v>
      </c>
      <c r="K60" s="836"/>
      <c r="L60" s="836"/>
      <c r="M60" s="837"/>
      <c r="N60" s="835">
        <f>N59/AD59</f>
        <v>4.8088293259755617E-2</v>
      </c>
      <c r="O60" s="836"/>
      <c r="P60" s="836"/>
      <c r="Q60" s="837"/>
      <c r="R60" s="835">
        <f>R59/AD59</f>
        <v>0.14584154513204572</v>
      </c>
      <c r="S60" s="836"/>
      <c r="T60" s="836"/>
      <c r="U60" s="837"/>
      <c r="V60" s="835">
        <f>V59/AD59</f>
        <v>0.11233740638549468</v>
      </c>
      <c r="W60" s="836"/>
      <c r="X60" s="836"/>
      <c r="Y60" s="837"/>
      <c r="Z60" s="835">
        <v>0.19900000000000001</v>
      </c>
      <c r="AA60" s="836"/>
      <c r="AB60" s="836"/>
      <c r="AC60" s="837"/>
      <c r="AD60" s="661">
        <v>1</v>
      </c>
      <c r="AE60" s="662"/>
      <c r="AF60" s="662"/>
      <c r="AG60" s="663"/>
      <c r="AJ60" s="84"/>
      <c r="AQ60" s="654"/>
      <c r="AR60" s="654"/>
      <c r="AY60" s="80"/>
      <c r="AZ60" s="80"/>
    </row>
    <row r="61" spans="1:52" s="14" customFormat="1" ht="15.6" customHeight="1" x14ac:dyDescent="0.15">
      <c r="A61" s="16"/>
      <c r="B61" s="667" t="s">
        <v>31</v>
      </c>
      <c r="C61" s="668"/>
      <c r="D61" s="668"/>
      <c r="E61" s="669"/>
      <c r="F61" s="673" t="s">
        <v>9</v>
      </c>
      <c r="G61" s="673"/>
      <c r="H61" s="673"/>
      <c r="I61" s="673"/>
      <c r="J61" s="674">
        <f>J57-J59</f>
        <v>29</v>
      </c>
      <c r="K61" s="674"/>
      <c r="L61" s="674"/>
      <c r="M61" s="674"/>
      <c r="N61" s="674">
        <f>N57-N59</f>
        <v>-11</v>
      </c>
      <c r="O61" s="674"/>
      <c r="P61" s="674"/>
      <c r="Q61" s="674"/>
      <c r="R61" s="674">
        <f>R57-R59</f>
        <v>1</v>
      </c>
      <c r="S61" s="674"/>
      <c r="T61" s="674"/>
      <c r="U61" s="674"/>
      <c r="V61" s="674">
        <f>V57-V59</f>
        <v>5</v>
      </c>
      <c r="W61" s="674"/>
      <c r="X61" s="674"/>
      <c r="Y61" s="674"/>
      <c r="Z61" s="674">
        <f>Z57-Z59</f>
        <v>-8</v>
      </c>
      <c r="AA61" s="674"/>
      <c r="AB61" s="674"/>
      <c r="AC61" s="674"/>
      <c r="AD61" s="675">
        <f>SUM(J61:AC61)</f>
        <v>16</v>
      </c>
      <c r="AE61" s="676"/>
      <c r="AF61" s="676"/>
      <c r="AG61" s="677"/>
      <c r="AH61" s="16"/>
      <c r="AI61" s="16"/>
      <c r="AJ61" s="16"/>
      <c r="AK61" s="16"/>
      <c r="AL61" s="16"/>
      <c r="AM61" s="16"/>
      <c r="AQ61" s="654"/>
      <c r="AR61" s="654"/>
      <c r="AY61" s="80"/>
      <c r="AZ61" s="80"/>
    </row>
    <row r="62" spans="1:52" s="14" customFormat="1" ht="15.6" customHeight="1" x14ac:dyDescent="0.15">
      <c r="A62" s="16"/>
      <c r="B62" s="670"/>
      <c r="C62" s="671"/>
      <c r="D62" s="671"/>
      <c r="E62" s="672"/>
      <c r="F62" s="692" t="s">
        <v>32</v>
      </c>
      <c r="G62" s="692"/>
      <c r="H62" s="692"/>
      <c r="I62" s="692"/>
      <c r="J62" s="693">
        <f>J57/J59</f>
        <v>1.0230891719745223</v>
      </c>
      <c r="K62" s="693"/>
      <c r="L62" s="693"/>
      <c r="M62" s="693"/>
      <c r="N62" s="693">
        <f>N57/N59</f>
        <v>0.9098360655737705</v>
      </c>
      <c r="O62" s="693"/>
      <c r="P62" s="693"/>
      <c r="Q62" s="693"/>
      <c r="R62" s="693">
        <f>R57/R59</f>
        <v>1.0027027027027027</v>
      </c>
      <c r="S62" s="693"/>
      <c r="T62" s="693"/>
      <c r="U62" s="693"/>
      <c r="V62" s="693">
        <f>V57/V59</f>
        <v>1.0175438596491229</v>
      </c>
      <c r="W62" s="693"/>
      <c r="X62" s="693"/>
      <c r="Y62" s="693"/>
      <c r="Z62" s="693">
        <f>Z57/Z59</f>
        <v>0.98412698412698407</v>
      </c>
      <c r="AA62" s="693"/>
      <c r="AB62" s="693"/>
      <c r="AC62" s="693"/>
      <c r="AD62" s="694">
        <f>AD57/AD59</f>
        <v>1.0063066614111156</v>
      </c>
      <c r="AE62" s="695"/>
      <c r="AF62" s="695"/>
      <c r="AG62" s="696"/>
      <c r="AH62" s="16"/>
      <c r="AI62" s="16"/>
      <c r="AJ62" s="16"/>
      <c r="AK62" s="16"/>
      <c r="AL62" s="16"/>
      <c r="AM62" s="16"/>
      <c r="AQ62" s="654"/>
      <c r="AR62" s="654"/>
      <c r="AY62" s="80"/>
      <c r="AZ62" s="80"/>
    </row>
    <row r="63" spans="1:52" s="3" customFormat="1" ht="15.6" customHeight="1" x14ac:dyDescent="0.15">
      <c r="A63" s="49"/>
      <c r="B63" s="324"/>
      <c r="C63" s="324"/>
      <c r="D63" s="317"/>
      <c r="E63" s="317"/>
      <c r="F63" s="317"/>
      <c r="G63" s="317"/>
      <c r="H63" s="313"/>
      <c r="I63" s="327"/>
      <c r="J63" s="327"/>
      <c r="K63" s="327"/>
      <c r="L63" s="327"/>
      <c r="M63" s="324"/>
      <c r="N63" s="327"/>
      <c r="O63" s="327"/>
      <c r="P63" s="327"/>
      <c r="Q63" s="327"/>
      <c r="R63" s="324"/>
      <c r="S63" s="317"/>
      <c r="T63" s="317"/>
      <c r="U63" s="317"/>
      <c r="V63" s="317"/>
      <c r="W63" s="325"/>
      <c r="X63" s="325"/>
      <c r="Y63" s="327"/>
      <c r="Z63" s="37"/>
      <c r="AA63" s="327"/>
      <c r="AB63" s="327"/>
      <c r="AC63" s="325"/>
      <c r="AD63" s="325"/>
      <c r="AE63" s="317"/>
      <c r="AF63" s="317"/>
      <c r="AG63" s="317"/>
      <c r="AH63" s="16"/>
      <c r="AI63" s="16"/>
      <c r="AJ63" s="16"/>
      <c r="AK63" s="16"/>
      <c r="AL63" s="16"/>
      <c r="AM63" s="16"/>
      <c r="AN63" s="14"/>
      <c r="AO63" s="14"/>
      <c r="AP63" s="14"/>
      <c r="AQ63" s="654"/>
      <c r="AR63" s="654"/>
      <c r="AS63" s="14"/>
      <c r="AT63" s="14"/>
      <c r="AU63" s="14"/>
      <c r="AY63" s="79"/>
      <c r="AZ63" s="79"/>
    </row>
    <row r="64" spans="1:52" s="3" customFormat="1" ht="15.6" customHeight="1" x14ac:dyDescent="0.15">
      <c r="A64" s="56" t="s">
        <v>110</v>
      </c>
      <c r="B64" s="332"/>
      <c r="C64" s="332"/>
      <c r="D64" s="332"/>
      <c r="E64" s="332"/>
      <c r="F64" s="332"/>
      <c r="G64" s="333" t="s">
        <v>157</v>
      </c>
      <c r="H64" s="334"/>
      <c r="I64" s="334"/>
      <c r="J64" s="334"/>
      <c r="K64" s="334"/>
      <c r="L64" s="334"/>
      <c r="M64" s="334"/>
      <c r="N64" s="334"/>
      <c r="O64" s="36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300" t="s">
        <v>40</v>
      </c>
      <c r="AH64" s="16"/>
      <c r="AI64" s="16"/>
      <c r="AJ64" s="16"/>
      <c r="AK64" s="16"/>
      <c r="AL64" s="16"/>
      <c r="AM64" s="16"/>
      <c r="AN64" s="16"/>
      <c r="AO64" s="16"/>
      <c r="AP64" s="16"/>
      <c r="AQ64" s="654"/>
      <c r="AR64" s="654"/>
      <c r="AS64" s="16"/>
      <c r="AT64" s="16"/>
      <c r="AU64" s="16"/>
      <c r="AY64" s="79"/>
      <c r="AZ64" s="79"/>
    </row>
    <row r="65" spans="1:52" s="3" customFormat="1" ht="15.6" customHeight="1" x14ac:dyDescent="0.15">
      <c r="A65" s="49"/>
      <c r="B65" s="678" t="s">
        <v>25</v>
      </c>
      <c r="C65" s="679"/>
      <c r="D65" s="680"/>
      <c r="E65" s="684" t="s">
        <v>41</v>
      </c>
      <c r="F65" s="685"/>
      <c r="G65" s="686"/>
      <c r="H65" s="684" t="s">
        <v>42</v>
      </c>
      <c r="I65" s="685"/>
      <c r="J65" s="686"/>
      <c r="K65" s="684" t="s">
        <v>43</v>
      </c>
      <c r="L65" s="685"/>
      <c r="M65" s="690" t="s">
        <v>44</v>
      </c>
      <c r="N65" s="690"/>
      <c r="O65" s="690" t="s">
        <v>45</v>
      </c>
      <c r="P65" s="690"/>
      <c r="Q65" s="690"/>
      <c r="R65" s="684" t="s">
        <v>46</v>
      </c>
      <c r="S65" s="686"/>
      <c r="T65" s="684" t="s">
        <v>47</v>
      </c>
      <c r="U65" s="686"/>
      <c r="V65" s="690" t="s">
        <v>48</v>
      </c>
      <c r="W65" s="690"/>
      <c r="X65" s="690" t="s">
        <v>112</v>
      </c>
      <c r="Y65" s="690"/>
      <c r="Z65" s="684" t="s">
        <v>113</v>
      </c>
      <c r="AA65" s="685"/>
      <c r="AB65" s="686"/>
      <c r="AC65" s="697" t="s">
        <v>128</v>
      </c>
      <c r="AD65" s="698"/>
      <c r="AE65" s="684" t="s">
        <v>82</v>
      </c>
      <c r="AF65" s="685"/>
      <c r="AG65" s="686"/>
      <c r="AH65" s="16"/>
      <c r="AI65" s="16"/>
      <c r="AJ65" s="16"/>
      <c r="AK65" s="16"/>
      <c r="AL65" s="16"/>
      <c r="AM65" s="16"/>
      <c r="AN65" s="16"/>
      <c r="AO65" s="16"/>
      <c r="AP65" s="16"/>
      <c r="AQ65" s="654"/>
      <c r="AR65" s="654"/>
      <c r="AS65" s="16"/>
      <c r="AT65" s="16"/>
      <c r="AU65" s="16"/>
      <c r="AY65" s="79"/>
      <c r="AZ65" s="79"/>
    </row>
    <row r="66" spans="1:52" s="3" customFormat="1" ht="15.6" customHeight="1" x14ac:dyDescent="0.15">
      <c r="A66" s="49"/>
      <c r="B66" s="681"/>
      <c r="C66" s="682"/>
      <c r="D66" s="683"/>
      <c r="E66" s="687"/>
      <c r="F66" s="688"/>
      <c r="G66" s="689"/>
      <c r="H66" s="687"/>
      <c r="I66" s="688"/>
      <c r="J66" s="689"/>
      <c r="K66" s="687"/>
      <c r="L66" s="688"/>
      <c r="M66" s="691"/>
      <c r="N66" s="691"/>
      <c r="O66" s="691"/>
      <c r="P66" s="691"/>
      <c r="Q66" s="691"/>
      <c r="R66" s="687"/>
      <c r="S66" s="689"/>
      <c r="T66" s="687"/>
      <c r="U66" s="689"/>
      <c r="V66" s="691"/>
      <c r="W66" s="691"/>
      <c r="X66" s="691"/>
      <c r="Y66" s="691"/>
      <c r="Z66" s="687"/>
      <c r="AA66" s="688"/>
      <c r="AB66" s="689"/>
      <c r="AC66" s="699"/>
      <c r="AD66" s="700"/>
      <c r="AE66" s="687"/>
      <c r="AF66" s="688"/>
      <c r="AG66" s="689"/>
      <c r="AH66" s="16"/>
      <c r="AI66" s="16"/>
      <c r="AJ66" s="16"/>
      <c r="AK66" s="16"/>
      <c r="AL66" s="16"/>
      <c r="AM66" s="16"/>
      <c r="AN66" s="16"/>
      <c r="AO66" s="16"/>
      <c r="AP66" s="16"/>
      <c r="AQ66" s="654"/>
      <c r="AR66" s="654"/>
      <c r="AS66" s="16"/>
      <c r="AT66" s="16"/>
      <c r="AU66" s="16"/>
      <c r="AY66" s="79"/>
      <c r="AZ66" s="79"/>
    </row>
    <row r="67" spans="1:52" s="14" customFormat="1" ht="15.6" customHeight="1" x14ac:dyDescent="0.15">
      <c r="A67" s="328"/>
      <c r="B67" s="701" t="s">
        <v>86</v>
      </c>
      <c r="C67" s="702"/>
      <c r="D67" s="703"/>
      <c r="E67" s="667">
        <v>2186</v>
      </c>
      <c r="F67" s="668"/>
      <c r="G67" s="669"/>
      <c r="H67" s="667">
        <v>2323</v>
      </c>
      <c r="I67" s="668"/>
      <c r="J67" s="669"/>
      <c r="K67" s="667">
        <v>115</v>
      </c>
      <c r="L67" s="668"/>
      <c r="M67" s="673">
        <v>585</v>
      </c>
      <c r="N67" s="673"/>
      <c r="O67" s="673">
        <v>2145</v>
      </c>
      <c r="P67" s="673"/>
      <c r="Q67" s="673"/>
      <c r="R67" s="667">
        <v>0</v>
      </c>
      <c r="S67" s="669"/>
      <c r="T67" s="667">
        <v>60</v>
      </c>
      <c r="U67" s="669"/>
      <c r="V67" s="673">
        <v>8</v>
      </c>
      <c r="W67" s="673"/>
      <c r="X67" s="715">
        <v>10</v>
      </c>
      <c r="Y67" s="715"/>
      <c r="Z67" s="717">
        <v>3</v>
      </c>
      <c r="AA67" s="718"/>
      <c r="AB67" s="719"/>
      <c r="AC67" s="717">
        <v>0</v>
      </c>
      <c r="AD67" s="719"/>
      <c r="AE67" s="667">
        <f>SUM(E67:AD68)</f>
        <v>7435</v>
      </c>
      <c r="AF67" s="668"/>
      <c r="AG67" s="669"/>
      <c r="AH67" s="541"/>
      <c r="AI67" s="541"/>
      <c r="AJ67" s="541"/>
      <c r="AK67" s="541"/>
      <c r="AL67" s="541"/>
      <c r="AM67" s="541"/>
      <c r="AN67" s="541"/>
      <c r="AO67" s="541"/>
      <c r="AP67" s="541"/>
      <c r="AQ67" s="654"/>
      <c r="AR67" s="654"/>
      <c r="AS67" s="541"/>
      <c r="AT67" s="541"/>
      <c r="AU67" s="541"/>
      <c r="AY67" s="80"/>
      <c r="AZ67" s="80"/>
    </row>
    <row r="68" spans="1:52" s="14" customFormat="1" ht="15.6" customHeight="1" x14ac:dyDescent="0.15">
      <c r="A68" s="328"/>
      <c r="B68" s="711"/>
      <c r="C68" s="712"/>
      <c r="D68" s="713"/>
      <c r="E68" s="670"/>
      <c r="F68" s="671"/>
      <c r="G68" s="672"/>
      <c r="H68" s="670"/>
      <c r="I68" s="671"/>
      <c r="J68" s="672"/>
      <c r="K68" s="670"/>
      <c r="L68" s="671"/>
      <c r="M68" s="714"/>
      <c r="N68" s="714"/>
      <c r="O68" s="714"/>
      <c r="P68" s="714"/>
      <c r="Q68" s="714"/>
      <c r="R68" s="670"/>
      <c r="S68" s="672"/>
      <c r="T68" s="670"/>
      <c r="U68" s="672"/>
      <c r="V68" s="714"/>
      <c r="W68" s="714"/>
      <c r="X68" s="726"/>
      <c r="Y68" s="726"/>
      <c r="Z68" s="727"/>
      <c r="AA68" s="728"/>
      <c r="AB68" s="729"/>
      <c r="AC68" s="727"/>
      <c r="AD68" s="729"/>
      <c r="AE68" s="670"/>
      <c r="AF68" s="671"/>
      <c r="AG68" s="672"/>
      <c r="AH68" s="541"/>
      <c r="AI68" s="541"/>
      <c r="AJ68" s="541"/>
      <c r="AK68" s="541"/>
      <c r="AL68" s="541"/>
      <c r="AM68" s="541"/>
      <c r="AN68" s="541"/>
      <c r="AO68" s="541"/>
      <c r="AP68" s="541"/>
      <c r="AQ68" s="654"/>
      <c r="AR68" s="654"/>
      <c r="AS68" s="541"/>
      <c r="AT68" s="541"/>
      <c r="AU68" s="541"/>
      <c r="AY68" s="80"/>
      <c r="AZ68" s="80"/>
    </row>
    <row r="69" spans="1:52" s="14" customFormat="1" ht="15.6" customHeight="1" x14ac:dyDescent="0.15">
      <c r="A69" s="328"/>
      <c r="B69" s="701" t="s">
        <v>87</v>
      </c>
      <c r="C69" s="702"/>
      <c r="D69" s="703"/>
      <c r="E69" s="667">
        <v>2786</v>
      </c>
      <c r="F69" s="668"/>
      <c r="G69" s="669"/>
      <c r="H69" s="667">
        <v>2941</v>
      </c>
      <c r="I69" s="668"/>
      <c r="J69" s="669"/>
      <c r="K69" s="667">
        <v>166</v>
      </c>
      <c r="L69" s="668"/>
      <c r="M69" s="673">
        <v>605</v>
      </c>
      <c r="N69" s="673"/>
      <c r="O69" s="673">
        <v>2649</v>
      </c>
      <c r="P69" s="673"/>
      <c r="Q69" s="673"/>
      <c r="R69" s="667">
        <v>0</v>
      </c>
      <c r="S69" s="669"/>
      <c r="T69" s="667">
        <v>68</v>
      </c>
      <c r="U69" s="669"/>
      <c r="V69" s="673">
        <v>8</v>
      </c>
      <c r="W69" s="673"/>
      <c r="X69" s="715">
        <v>10</v>
      </c>
      <c r="Y69" s="715"/>
      <c r="Z69" s="717">
        <v>3</v>
      </c>
      <c r="AA69" s="718"/>
      <c r="AB69" s="719"/>
      <c r="AC69" s="717">
        <v>0</v>
      </c>
      <c r="AD69" s="719"/>
      <c r="AE69" s="723">
        <f>SUM(E69:AC70)</f>
        <v>9236</v>
      </c>
      <c r="AF69" s="724"/>
      <c r="AG69" s="725"/>
      <c r="AH69" s="541"/>
      <c r="AI69" s="541"/>
      <c r="AJ69" s="541"/>
      <c r="AK69" s="541"/>
      <c r="AL69" s="541"/>
      <c r="AM69" s="541"/>
      <c r="AN69" s="541"/>
      <c r="AO69" s="541"/>
      <c r="AP69" s="541"/>
      <c r="AQ69" s="86"/>
      <c r="AR69" s="86"/>
      <c r="AS69" s="541"/>
      <c r="AT69" s="541"/>
      <c r="AU69" s="541"/>
      <c r="AY69" s="80"/>
      <c r="AZ69" s="80"/>
    </row>
    <row r="70" spans="1:52" s="14" customFormat="1" ht="15.6" customHeight="1" thickBot="1" x14ac:dyDescent="0.2">
      <c r="A70" s="16"/>
      <c r="B70" s="704"/>
      <c r="C70" s="705"/>
      <c r="D70" s="706"/>
      <c r="E70" s="707"/>
      <c r="F70" s="708"/>
      <c r="G70" s="709"/>
      <c r="H70" s="707"/>
      <c r="I70" s="708"/>
      <c r="J70" s="709"/>
      <c r="K70" s="707"/>
      <c r="L70" s="708"/>
      <c r="M70" s="710"/>
      <c r="N70" s="710"/>
      <c r="O70" s="710"/>
      <c r="P70" s="710"/>
      <c r="Q70" s="710"/>
      <c r="R70" s="707"/>
      <c r="S70" s="709"/>
      <c r="T70" s="707"/>
      <c r="U70" s="709"/>
      <c r="V70" s="710"/>
      <c r="W70" s="710"/>
      <c r="X70" s="716"/>
      <c r="Y70" s="716"/>
      <c r="Z70" s="720"/>
      <c r="AA70" s="721"/>
      <c r="AB70" s="722"/>
      <c r="AC70" s="720"/>
      <c r="AD70" s="722"/>
      <c r="AE70" s="707"/>
      <c r="AF70" s="708"/>
      <c r="AG70" s="709"/>
      <c r="AH70" s="16"/>
      <c r="AI70" s="16"/>
      <c r="AJ70" s="16"/>
      <c r="AK70" s="16"/>
      <c r="AL70" s="16"/>
      <c r="AM70" s="16"/>
      <c r="AN70" s="16"/>
      <c r="AO70" s="16"/>
      <c r="AP70" s="16"/>
      <c r="AQ70" s="87"/>
      <c r="AR70" s="87"/>
      <c r="AS70" s="16"/>
      <c r="AT70" s="16"/>
      <c r="AU70" s="16"/>
      <c r="AY70" s="80"/>
      <c r="AZ70" s="80"/>
    </row>
    <row r="71" spans="1:52" s="14" customFormat="1" ht="15.6" customHeight="1" thickTop="1" x14ac:dyDescent="0.15">
      <c r="A71" s="16"/>
      <c r="B71" s="874" t="s">
        <v>204</v>
      </c>
      <c r="C71" s="875"/>
      <c r="D71" s="876"/>
      <c r="E71" s="847">
        <v>1815194</v>
      </c>
      <c r="F71" s="848"/>
      <c r="G71" s="849"/>
      <c r="H71" s="847">
        <v>1042131</v>
      </c>
      <c r="I71" s="848"/>
      <c r="J71" s="849"/>
      <c r="K71" s="847">
        <v>17140</v>
      </c>
      <c r="L71" s="848"/>
      <c r="M71" s="855">
        <v>207464</v>
      </c>
      <c r="N71" s="855"/>
      <c r="O71" s="855">
        <v>2887036</v>
      </c>
      <c r="P71" s="855"/>
      <c r="Q71" s="855"/>
      <c r="R71" s="847">
        <v>1155</v>
      </c>
      <c r="S71" s="849"/>
      <c r="T71" s="847">
        <v>11167</v>
      </c>
      <c r="U71" s="849"/>
      <c r="V71" s="855">
        <v>20551</v>
      </c>
      <c r="W71" s="855"/>
      <c r="X71" s="855">
        <v>24936</v>
      </c>
      <c r="Y71" s="855"/>
      <c r="Z71" s="847">
        <v>784</v>
      </c>
      <c r="AA71" s="848"/>
      <c r="AB71" s="849"/>
      <c r="AC71" s="870">
        <v>800</v>
      </c>
      <c r="AD71" s="871"/>
      <c r="AE71" s="847">
        <f>SUM(E71:AD72)</f>
        <v>6028358</v>
      </c>
      <c r="AF71" s="848"/>
      <c r="AG71" s="849"/>
      <c r="AH71" s="16"/>
      <c r="AI71" s="537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Y71" s="80"/>
      <c r="AZ71" s="80"/>
    </row>
    <row r="72" spans="1:52" s="14" customFormat="1" ht="15.6" customHeight="1" x14ac:dyDescent="0.15">
      <c r="A72" s="16"/>
      <c r="B72" s="877"/>
      <c r="C72" s="878"/>
      <c r="D72" s="879"/>
      <c r="E72" s="850"/>
      <c r="F72" s="851"/>
      <c r="G72" s="852"/>
      <c r="H72" s="850"/>
      <c r="I72" s="851"/>
      <c r="J72" s="852"/>
      <c r="K72" s="853"/>
      <c r="L72" s="854"/>
      <c r="M72" s="856"/>
      <c r="N72" s="856"/>
      <c r="O72" s="856"/>
      <c r="P72" s="856"/>
      <c r="Q72" s="856"/>
      <c r="R72" s="850"/>
      <c r="S72" s="852"/>
      <c r="T72" s="850"/>
      <c r="U72" s="852"/>
      <c r="V72" s="856"/>
      <c r="W72" s="856"/>
      <c r="X72" s="856"/>
      <c r="Y72" s="856"/>
      <c r="Z72" s="853"/>
      <c r="AA72" s="854"/>
      <c r="AB72" s="864"/>
      <c r="AC72" s="872"/>
      <c r="AD72" s="873"/>
      <c r="AE72" s="853"/>
      <c r="AF72" s="854"/>
      <c r="AG72" s="864"/>
      <c r="AH72" s="16"/>
      <c r="AI72" s="537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Y72" s="80"/>
      <c r="AZ72" s="80"/>
    </row>
    <row r="73" spans="1:52" s="14" customFormat="1" ht="15.6" customHeight="1" x14ac:dyDescent="0.15">
      <c r="A73" s="16"/>
      <c r="B73" s="865" t="s">
        <v>30</v>
      </c>
      <c r="C73" s="866"/>
      <c r="D73" s="867"/>
      <c r="E73" s="858">
        <v>0.30120000000000002</v>
      </c>
      <c r="F73" s="859"/>
      <c r="G73" s="860"/>
      <c r="H73" s="858">
        <f>H71/AE71</f>
        <v>0.17287145189452915</v>
      </c>
      <c r="I73" s="859"/>
      <c r="J73" s="860"/>
      <c r="K73" s="858">
        <f>K71/AE71</f>
        <v>2.8432286204634828E-3</v>
      </c>
      <c r="L73" s="860"/>
      <c r="M73" s="858">
        <f>M71/AE71</f>
        <v>3.4414678093105951E-2</v>
      </c>
      <c r="N73" s="859"/>
      <c r="O73" s="858">
        <f>O71/AE71</f>
        <v>0.47890918223502982</v>
      </c>
      <c r="P73" s="859"/>
      <c r="Q73" s="860"/>
      <c r="R73" s="868">
        <f>R71/AE71</f>
        <v>1.9159446071384612E-4</v>
      </c>
      <c r="S73" s="869"/>
      <c r="T73" s="868">
        <f>T71/AE71</f>
        <v>1.8524115522004499E-3</v>
      </c>
      <c r="U73" s="869"/>
      <c r="V73" s="857">
        <f>V71/AE71</f>
        <v>3.4090543395067113E-3</v>
      </c>
      <c r="W73" s="857"/>
      <c r="X73" s="857">
        <f>X71/AE71</f>
        <v>4.1364497596194519E-3</v>
      </c>
      <c r="Y73" s="857"/>
      <c r="Z73" s="858">
        <f>Z71/AE71</f>
        <v>1.300519975754592E-4</v>
      </c>
      <c r="AA73" s="859"/>
      <c r="AB73" s="860"/>
      <c r="AC73" s="858">
        <f>AC71/AE71</f>
        <v>1.3270611997495837E-4</v>
      </c>
      <c r="AD73" s="860"/>
      <c r="AE73" s="861">
        <v>1</v>
      </c>
      <c r="AF73" s="862"/>
      <c r="AG73" s="863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Y73" s="80"/>
      <c r="AZ73" s="80"/>
    </row>
    <row r="74" spans="1:52" s="3" customFormat="1" ht="15.6" customHeight="1" x14ac:dyDescent="0.15">
      <c r="A74" s="49"/>
      <c r="B74" s="327"/>
      <c r="C74" s="324"/>
      <c r="D74" s="324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70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Y74" s="79"/>
      <c r="AZ74" s="79"/>
    </row>
    <row r="75" spans="1:52" s="3" customFormat="1" ht="15.6" customHeight="1" x14ac:dyDescent="0.15">
      <c r="A75" s="50" t="s">
        <v>71</v>
      </c>
      <c r="B75" s="49"/>
      <c r="C75" s="49"/>
      <c r="D75" s="49"/>
      <c r="E75" s="49"/>
      <c r="F75" s="49"/>
      <c r="G75" s="49"/>
      <c r="H75" s="49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320" t="s">
        <v>33</v>
      </c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Y75" s="79"/>
      <c r="AZ75" s="79"/>
    </row>
    <row r="76" spans="1:52" s="3" customFormat="1" ht="15.6" customHeight="1" x14ac:dyDescent="0.15">
      <c r="A76" s="49"/>
      <c r="B76" s="730" t="s">
        <v>34</v>
      </c>
      <c r="C76" s="730"/>
      <c r="D76" s="730"/>
      <c r="E76" s="730"/>
      <c r="F76" s="730"/>
      <c r="G76" s="730"/>
      <c r="H76" s="730" t="s">
        <v>35</v>
      </c>
      <c r="I76" s="730"/>
      <c r="J76" s="730"/>
      <c r="K76" s="730"/>
      <c r="L76" s="730"/>
      <c r="M76" s="730"/>
      <c r="N76" s="730"/>
      <c r="O76" s="730"/>
      <c r="P76" s="730"/>
      <c r="Q76" s="730"/>
      <c r="R76" s="730"/>
      <c r="S76" s="730"/>
      <c r="T76" s="730"/>
      <c r="U76" s="730"/>
      <c r="V76" s="730"/>
      <c r="W76" s="730"/>
      <c r="X76" s="730"/>
      <c r="Y76" s="730"/>
      <c r="Z76" s="549" t="s">
        <v>36</v>
      </c>
      <c r="AA76" s="550"/>
      <c r="AB76" s="550"/>
      <c r="AC76" s="550"/>
      <c r="AD76" s="550"/>
      <c r="AE76" s="550"/>
      <c r="AF76" s="550"/>
      <c r="AG76" s="551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Y76" s="79"/>
      <c r="AZ76" s="79"/>
    </row>
    <row r="77" spans="1:52" s="3" customFormat="1" ht="15.6" customHeight="1" x14ac:dyDescent="0.15">
      <c r="A77" s="49"/>
      <c r="B77" s="730"/>
      <c r="C77" s="730"/>
      <c r="D77" s="730"/>
      <c r="E77" s="730"/>
      <c r="F77" s="730"/>
      <c r="G77" s="730"/>
      <c r="H77" s="730" t="s">
        <v>37</v>
      </c>
      <c r="I77" s="730"/>
      <c r="J77" s="730"/>
      <c r="K77" s="730"/>
      <c r="L77" s="730"/>
      <c r="M77" s="730"/>
      <c r="N77" s="730" t="s">
        <v>38</v>
      </c>
      <c r="O77" s="730"/>
      <c r="P77" s="730"/>
      <c r="Q77" s="730"/>
      <c r="R77" s="730"/>
      <c r="S77" s="730"/>
      <c r="T77" s="730" t="s">
        <v>39</v>
      </c>
      <c r="U77" s="730"/>
      <c r="V77" s="730"/>
      <c r="W77" s="730"/>
      <c r="X77" s="730"/>
      <c r="Y77" s="730"/>
      <c r="Z77" s="552"/>
      <c r="AA77" s="553"/>
      <c r="AB77" s="553"/>
      <c r="AC77" s="553"/>
      <c r="AD77" s="553"/>
      <c r="AE77" s="553"/>
      <c r="AF77" s="553"/>
      <c r="AG77" s="554"/>
      <c r="AH77" s="16"/>
      <c r="AI77" s="16"/>
      <c r="AJ77" s="16"/>
      <c r="AK77" s="16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Y77" s="79"/>
      <c r="AZ77" s="79"/>
    </row>
    <row r="78" spans="1:52" s="3" customFormat="1" ht="15.6" customHeight="1" x14ac:dyDescent="0.15">
      <c r="A78" s="49"/>
      <c r="B78" s="731" t="s">
        <v>136</v>
      </c>
      <c r="C78" s="732"/>
      <c r="D78" s="732"/>
      <c r="E78" s="732"/>
      <c r="F78" s="732"/>
      <c r="G78" s="733"/>
      <c r="H78" s="734">
        <v>5190000</v>
      </c>
      <c r="I78" s="735"/>
      <c r="J78" s="735"/>
      <c r="K78" s="735"/>
      <c r="L78" s="735"/>
      <c r="M78" s="736"/>
      <c r="N78" s="737">
        <v>210000</v>
      </c>
      <c r="O78" s="738"/>
      <c r="P78" s="738"/>
      <c r="Q78" s="738"/>
      <c r="R78" s="738"/>
      <c r="S78" s="739"/>
      <c r="T78" s="734">
        <f t="shared" ref="T78:T81" si="1">SUM(H78:S78)</f>
        <v>5400000</v>
      </c>
      <c r="U78" s="735"/>
      <c r="V78" s="735"/>
      <c r="W78" s="735"/>
      <c r="X78" s="735"/>
      <c r="Y78" s="736"/>
      <c r="Z78" s="740">
        <v>5385302</v>
      </c>
      <c r="AA78" s="741"/>
      <c r="AB78" s="741"/>
      <c r="AC78" s="741"/>
      <c r="AD78" s="741"/>
      <c r="AE78" s="741"/>
      <c r="AF78" s="741"/>
      <c r="AG78" s="742"/>
      <c r="AH78" s="16"/>
      <c r="AI78" s="16"/>
      <c r="AJ78" s="16"/>
      <c r="AK78" s="16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Y78" s="79"/>
      <c r="AZ78" s="79"/>
    </row>
    <row r="79" spans="1:52" s="3" customFormat="1" ht="15.6" customHeight="1" x14ac:dyDescent="0.15">
      <c r="A79" s="49"/>
      <c r="B79" s="731" t="s">
        <v>137</v>
      </c>
      <c r="C79" s="732"/>
      <c r="D79" s="732"/>
      <c r="E79" s="732"/>
      <c r="F79" s="732"/>
      <c r="G79" s="733"/>
      <c r="H79" s="734">
        <v>5300000</v>
      </c>
      <c r="I79" s="735"/>
      <c r="J79" s="735"/>
      <c r="K79" s="735"/>
      <c r="L79" s="735"/>
      <c r="M79" s="736"/>
      <c r="N79" s="737">
        <v>346000</v>
      </c>
      <c r="O79" s="738"/>
      <c r="P79" s="738"/>
      <c r="Q79" s="738"/>
      <c r="R79" s="738"/>
      <c r="S79" s="739"/>
      <c r="T79" s="734">
        <f t="shared" si="1"/>
        <v>5646000</v>
      </c>
      <c r="U79" s="735"/>
      <c r="V79" s="735"/>
      <c r="W79" s="735"/>
      <c r="X79" s="735"/>
      <c r="Y79" s="736"/>
      <c r="Z79" s="740">
        <v>5636644</v>
      </c>
      <c r="AA79" s="741"/>
      <c r="AB79" s="741"/>
      <c r="AC79" s="741"/>
      <c r="AD79" s="741"/>
      <c r="AE79" s="741"/>
      <c r="AF79" s="741"/>
      <c r="AG79" s="742"/>
      <c r="AH79" s="16"/>
      <c r="AI79" s="16"/>
      <c r="AJ79" s="16"/>
      <c r="AK79" s="16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Y79" s="79"/>
      <c r="AZ79" s="79"/>
    </row>
    <row r="80" spans="1:52" s="3" customFormat="1" ht="15.6" customHeight="1" x14ac:dyDescent="0.15">
      <c r="A80" s="49"/>
      <c r="B80" s="731" t="s">
        <v>138</v>
      </c>
      <c r="C80" s="732"/>
      <c r="D80" s="732"/>
      <c r="E80" s="732"/>
      <c r="F80" s="732"/>
      <c r="G80" s="733"/>
      <c r="H80" s="734">
        <v>5310000</v>
      </c>
      <c r="I80" s="735"/>
      <c r="J80" s="735"/>
      <c r="K80" s="735"/>
      <c r="L80" s="735"/>
      <c r="M80" s="736"/>
      <c r="N80" s="743">
        <v>197000</v>
      </c>
      <c r="O80" s="744"/>
      <c r="P80" s="744"/>
      <c r="Q80" s="744"/>
      <c r="R80" s="744"/>
      <c r="S80" s="745"/>
      <c r="T80" s="734">
        <f t="shared" si="1"/>
        <v>5507000</v>
      </c>
      <c r="U80" s="735"/>
      <c r="V80" s="735"/>
      <c r="W80" s="735"/>
      <c r="X80" s="735"/>
      <c r="Y80" s="736"/>
      <c r="Z80" s="734">
        <v>5500325</v>
      </c>
      <c r="AA80" s="735"/>
      <c r="AB80" s="735"/>
      <c r="AC80" s="735"/>
      <c r="AD80" s="735"/>
      <c r="AE80" s="735"/>
      <c r="AF80" s="735"/>
      <c r="AG80" s="736"/>
      <c r="AH80" s="16"/>
      <c r="AI80" s="16"/>
      <c r="AJ80" s="16"/>
      <c r="AK80" s="16"/>
      <c r="AL80" s="16"/>
      <c r="AM80" s="16"/>
      <c r="AN80" s="16"/>
      <c r="AO80" s="16"/>
      <c r="AP80" s="14"/>
      <c r="AQ80" s="14"/>
      <c r="AR80" s="14"/>
      <c r="AS80" s="14"/>
      <c r="AT80" s="14"/>
      <c r="AU80" s="14"/>
      <c r="AY80" s="79"/>
      <c r="AZ80" s="79"/>
    </row>
    <row r="81" spans="1:54" s="3" customFormat="1" ht="15.6" customHeight="1" x14ac:dyDescent="0.15">
      <c r="A81" s="49"/>
      <c r="B81" s="746" t="s">
        <v>132</v>
      </c>
      <c r="C81" s="746"/>
      <c r="D81" s="746"/>
      <c r="E81" s="746"/>
      <c r="F81" s="746"/>
      <c r="G81" s="746"/>
      <c r="H81" s="747">
        <v>5510000</v>
      </c>
      <c r="I81" s="748"/>
      <c r="J81" s="748"/>
      <c r="K81" s="748"/>
      <c r="L81" s="748"/>
      <c r="M81" s="749"/>
      <c r="N81" s="743">
        <v>388000</v>
      </c>
      <c r="O81" s="744"/>
      <c r="P81" s="744"/>
      <c r="Q81" s="744"/>
      <c r="R81" s="744"/>
      <c r="S81" s="745"/>
      <c r="T81" s="747">
        <f t="shared" si="1"/>
        <v>5898000</v>
      </c>
      <c r="U81" s="748"/>
      <c r="V81" s="748"/>
      <c r="W81" s="748"/>
      <c r="X81" s="748"/>
      <c r="Y81" s="749"/>
      <c r="Z81" s="747">
        <v>5894929</v>
      </c>
      <c r="AA81" s="748"/>
      <c r="AB81" s="748"/>
      <c r="AC81" s="748"/>
      <c r="AD81" s="748"/>
      <c r="AE81" s="748"/>
      <c r="AF81" s="748"/>
      <c r="AG81" s="749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Y81" s="79"/>
      <c r="AZ81" s="79"/>
    </row>
    <row r="82" spans="1:54" s="14" customFormat="1" ht="15.6" customHeight="1" x14ac:dyDescent="0.15">
      <c r="A82" s="16"/>
      <c r="B82" s="746" t="s">
        <v>145</v>
      </c>
      <c r="C82" s="746"/>
      <c r="D82" s="746"/>
      <c r="E82" s="746"/>
      <c r="F82" s="746"/>
      <c r="G82" s="746"/>
      <c r="H82" s="747">
        <v>5596000</v>
      </c>
      <c r="I82" s="748"/>
      <c r="J82" s="748"/>
      <c r="K82" s="748"/>
      <c r="L82" s="748"/>
      <c r="M82" s="749"/>
      <c r="N82" s="743">
        <v>448000</v>
      </c>
      <c r="O82" s="744"/>
      <c r="P82" s="744"/>
      <c r="Q82" s="744"/>
      <c r="R82" s="744"/>
      <c r="S82" s="745"/>
      <c r="T82" s="747">
        <f>SUM(H82:S82)</f>
        <v>6044000</v>
      </c>
      <c r="U82" s="748"/>
      <c r="V82" s="748"/>
      <c r="W82" s="748"/>
      <c r="X82" s="748"/>
      <c r="Y82" s="749"/>
      <c r="Z82" s="747">
        <v>6030198</v>
      </c>
      <c r="AA82" s="748"/>
      <c r="AB82" s="748"/>
      <c r="AC82" s="748"/>
      <c r="AD82" s="748"/>
      <c r="AE82" s="748"/>
      <c r="AF82" s="748"/>
      <c r="AG82" s="749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Y82" s="80"/>
      <c r="AZ82" s="80"/>
    </row>
    <row r="83" spans="1:54" s="3" customFormat="1" ht="15.6" customHeight="1" x14ac:dyDescent="0.15">
      <c r="A83" s="49"/>
      <c r="B83" s="324"/>
      <c r="C83" s="324"/>
      <c r="D83" s="324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Y83" s="79"/>
      <c r="AZ83" s="79"/>
    </row>
    <row r="84" spans="1:54" s="1" customFormat="1" ht="15.6" customHeight="1" x14ac:dyDescent="0.15">
      <c r="A84" s="49" t="s">
        <v>49</v>
      </c>
      <c r="B84" s="49"/>
      <c r="C84" s="49"/>
      <c r="D84" s="49"/>
      <c r="E84" s="49"/>
      <c r="F84" s="49"/>
      <c r="G84" s="49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54" t="s">
        <v>116</v>
      </c>
      <c r="AB84" s="49"/>
      <c r="AC84" s="49"/>
      <c r="AD84" s="49"/>
      <c r="AE84" s="49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Y84" s="310"/>
      <c r="AZ84" s="310"/>
    </row>
    <row r="85" spans="1:54" s="1" customFormat="1" ht="15.6" customHeight="1" x14ac:dyDescent="0.15">
      <c r="A85" s="49"/>
      <c r="B85" s="730" t="s">
        <v>78</v>
      </c>
      <c r="C85" s="730"/>
      <c r="D85" s="730"/>
      <c r="E85" s="730"/>
      <c r="F85" s="730"/>
      <c r="G85" s="751" t="s">
        <v>127</v>
      </c>
      <c r="H85" s="752"/>
      <c r="I85" s="752"/>
      <c r="J85" s="752"/>
      <c r="K85" s="753"/>
      <c r="L85" s="751" t="s">
        <v>138</v>
      </c>
      <c r="M85" s="752"/>
      <c r="N85" s="752"/>
      <c r="O85" s="752"/>
      <c r="P85" s="753"/>
      <c r="Q85" s="751" t="s">
        <v>132</v>
      </c>
      <c r="R85" s="752"/>
      <c r="S85" s="752"/>
      <c r="T85" s="752"/>
      <c r="U85" s="753"/>
      <c r="V85" s="754" t="s">
        <v>145</v>
      </c>
      <c r="W85" s="730"/>
      <c r="X85" s="730"/>
      <c r="Y85" s="730"/>
      <c r="Z85" s="730"/>
      <c r="AA85" s="754" t="s">
        <v>177</v>
      </c>
      <c r="AB85" s="730"/>
      <c r="AC85" s="730"/>
      <c r="AD85" s="730"/>
      <c r="AE85" s="730"/>
      <c r="AF85" s="16"/>
      <c r="AG85" s="16"/>
      <c r="AH85" s="16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Y85" s="310"/>
      <c r="AZ85" s="310"/>
    </row>
    <row r="86" spans="1:54" s="1" customFormat="1" ht="15.6" customHeight="1" x14ac:dyDescent="0.15">
      <c r="A86" s="49"/>
      <c r="B86" s="756" t="s">
        <v>77</v>
      </c>
      <c r="C86" s="756"/>
      <c r="D86" s="756"/>
      <c r="E86" s="756"/>
      <c r="F86" s="756"/>
      <c r="G86" s="757">
        <f>990+98</f>
        <v>1088</v>
      </c>
      <c r="H86" s="758"/>
      <c r="I86" s="758"/>
      <c r="J86" s="758"/>
      <c r="K86" s="759"/>
      <c r="L86" s="757">
        <v>1174</v>
      </c>
      <c r="M86" s="758"/>
      <c r="N86" s="758"/>
      <c r="O86" s="758"/>
      <c r="P86" s="759"/>
      <c r="Q86" s="757">
        <v>1207</v>
      </c>
      <c r="R86" s="758"/>
      <c r="S86" s="758"/>
      <c r="T86" s="758"/>
      <c r="U86" s="759"/>
      <c r="V86" s="763">
        <v>1103</v>
      </c>
      <c r="W86" s="763"/>
      <c r="X86" s="763"/>
      <c r="Y86" s="763"/>
      <c r="Z86" s="763"/>
      <c r="AA86" s="764">
        <f>77+122+80+81+103+93</f>
        <v>556</v>
      </c>
      <c r="AB86" s="764"/>
      <c r="AC86" s="764"/>
      <c r="AD86" s="764"/>
      <c r="AE86" s="764"/>
      <c r="AF86" s="16"/>
      <c r="AG86" s="16"/>
      <c r="AH86" s="16"/>
      <c r="AI86" s="755"/>
      <c r="AJ86" s="755"/>
      <c r="AK86" s="755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Y86" s="310"/>
      <c r="AZ86" s="310"/>
    </row>
    <row r="87" spans="1:54" s="1" customFormat="1" ht="15.6" customHeight="1" x14ac:dyDescent="0.15">
      <c r="A87" s="49"/>
      <c r="B87" s="756" t="s">
        <v>76</v>
      </c>
      <c r="C87" s="756"/>
      <c r="D87" s="756"/>
      <c r="E87" s="756"/>
      <c r="F87" s="756"/>
      <c r="G87" s="757">
        <v>91</v>
      </c>
      <c r="H87" s="758"/>
      <c r="I87" s="758"/>
      <c r="J87" s="758"/>
      <c r="K87" s="759"/>
      <c r="L87" s="757">
        <f>L86/12</f>
        <v>97.833333333333329</v>
      </c>
      <c r="M87" s="758"/>
      <c r="N87" s="758"/>
      <c r="O87" s="758"/>
      <c r="P87" s="759"/>
      <c r="Q87" s="757">
        <f>Q86/12</f>
        <v>100.58333333333333</v>
      </c>
      <c r="R87" s="758"/>
      <c r="S87" s="758"/>
      <c r="T87" s="758"/>
      <c r="U87" s="759"/>
      <c r="V87" s="757">
        <f>V86/12</f>
        <v>91.916666666666671</v>
      </c>
      <c r="W87" s="758"/>
      <c r="X87" s="758"/>
      <c r="Y87" s="758"/>
      <c r="Z87" s="759"/>
      <c r="AA87" s="760">
        <f>AA86/6</f>
        <v>92.666666666666671</v>
      </c>
      <c r="AB87" s="761"/>
      <c r="AC87" s="761"/>
      <c r="AD87" s="761"/>
      <c r="AE87" s="762"/>
      <c r="AF87" s="16"/>
      <c r="AG87" s="16"/>
      <c r="AH87" s="16"/>
      <c r="AI87" s="889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Y87" s="310"/>
      <c r="AZ87" s="310"/>
    </row>
    <row r="88" spans="1:54" s="1" customFormat="1" ht="15.6" customHeight="1" x14ac:dyDescent="0.15">
      <c r="A88" s="49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Y88" s="310"/>
      <c r="AZ88" s="310"/>
    </row>
    <row r="89" spans="1:54" s="1" customFormat="1" ht="15.6" customHeight="1" x14ac:dyDescent="0.15">
      <c r="A89" s="50" t="s">
        <v>63</v>
      </c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16"/>
      <c r="U89" s="16"/>
      <c r="V89" s="16"/>
      <c r="W89" s="16"/>
      <c r="X89" s="16"/>
      <c r="Y89" s="16"/>
      <c r="AA89" s="331" t="s">
        <v>116</v>
      </c>
      <c r="AB89" s="331"/>
      <c r="AC89" s="331"/>
      <c r="AD89" s="331"/>
      <c r="AE89" s="331"/>
      <c r="AF89" s="16"/>
      <c r="AG89" s="16"/>
      <c r="AH89" s="16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Y89" s="310"/>
      <c r="AZ89" s="310"/>
    </row>
    <row r="90" spans="1:54" s="1" customFormat="1" ht="15.6" customHeight="1" x14ac:dyDescent="0.15">
      <c r="A90" s="49"/>
      <c r="B90" s="765" t="s">
        <v>70</v>
      </c>
      <c r="C90" s="766"/>
      <c r="D90" s="767"/>
      <c r="E90" s="765" t="s">
        <v>50</v>
      </c>
      <c r="F90" s="766"/>
      <c r="G90" s="766"/>
      <c r="H90" s="766"/>
      <c r="I90" s="767"/>
      <c r="J90" s="751" t="s">
        <v>133</v>
      </c>
      <c r="K90" s="752"/>
      <c r="L90" s="752"/>
      <c r="M90" s="752"/>
      <c r="N90" s="752"/>
      <c r="O90" s="752"/>
      <c r="P90" s="752"/>
      <c r="Q90" s="753"/>
      <c r="R90" s="751" t="s">
        <v>146</v>
      </c>
      <c r="S90" s="752"/>
      <c r="T90" s="752"/>
      <c r="U90" s="752"/>
      <c r="V90" s="752"/>
      <c r="W90" s="752"/>
      <c r="X90" s="752"/>
      <c r="Y90" s="753"/>
      <c r="Z90" s="751" t="s">
        <v>178</v>
      </c>
      <c r="AA90" s="752"/>
      <c r="AB90" s="752"/>
      <c r="AC90" s="752"/>
      <c r="AD90" s="752"/>
      <c r="AE90" s="752"/>
      <c r="AF90" s="752"/>
      <c r="AG90" s="753"/>
      <c r="AH90" s="16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Y90" s="310"/>
      <c r="AZ90" s="310"/>
    </row>
    <row r="91" spans="1:54" s="1" customFormat="1" ht="15.6" customHeight="1" x14ac:dyDescent="0.15">
      <c r="A91" s="49"/>
      <c r="B91" s="785"/>
      <c r="C91" s="786"/>
      <c r="D91" s="787"/>
      <c r="E91" s="785"/>
      <c r="F91" s="786"/>
      <c r="G91" s="786"/>
      <c r="H91" s="786"/>
      <c r="I91" s="787"/>
      <c r="J91" s="788" t="s">
        <v>51</v>
      </c>
      <c r="K91" s="788"/>
      <c r="L91" s="788"/>
      <c r="M91" s="788"/>
      <c r="N91" s="765" t="s">
        <v>30</v>
      </c>
      <c r="O91" s="766"/>
      <c r="P91" s="766"/>
      <c r="Q91" s="767"/>
      <c r="R91" s="788" t="s">
        <v>51</v>
      </c>
      <c r="S91" s="788"/>
      <c r="T91" s="788"/>
      <c r="U91" s="788"/>
      <c r="V91" s="765" t="s">
        <v>30</v>
      </c>
      <c r="W91" s="766"/>
      <c r="X91" s="766"/>
      <c r="Y91" s="767"/>
      <c r="Z91" s="788" t="s">
        <v>51</v>
      </c>
      <c r="AA91" s="788"/>
      <c r="AB91" s="788"/>
      <c r="AC91" s="788"/>
      <c r="AD91" s="765" t="s">
        <v>30</v>
      </c>
      <c r="AE91" s="766"/>
      <c r="AF91" s="766"/>
      <c r="AG91" s="767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Y91" s="310"/>
      <c r="AZ91" s="310"/>
    </row>
    <row r="92" spans="1:54" s="1" customFormat="1" ht="15.6" customHeight="1" x14ac:dyDescent="0.15">
      <c r="A92" s="52"/>
      <c r="B92" s="768" t="s">
        <v>74</v>
      </c>
      <c r="C92" s="769"/>
      <c r="D92" s="770"/>
      <c r="E92" s="777" t="s">
        <v>52</v>
      </c>
      <c r="F92" s="777"/>
      <c r="G92" s="777"/>
      <c r="H92" s="777"/>
      <c r="I92" s="777"/>
      <c r="J92" s="778">
        <v>193</v>
      </c>
      <c r="K92" s="778"/>
      <c r="L92" s="778"/>
      <c r="M92" s="778"/>
      <c r="N92" s="779">
        <f>J92/SUM(J92:M96)</f>
        <v>0.15990057995028997</v>
      </c>
      <c r="O92" s="779"/>
      <c r="P92" s="779"/>
      <c r="Q92" s="779"/>
      <c r="R92" s="780">
        <v>206</v>
      </c>
      <c r="S92" s="778"/>
      <c r="T92" s="778"/>
      <c r="U92" s="778"/>
      <c r="V92" s="779">
        <f>R92/V86</f>
        <v>0.18676337262012693</v>
      </c>
      <c r="W92" s="779"/>
      <c r="X92" s="779"/>
      <c r="Y92" s="779"/>
      <c r="Z92" s="781">
        <f>13+27+18+18+18+12</f>
        <v>106</v>
      </c>
      <c r="AA92" s="782"/>
      <c r="AB92" s="782"/>
      <c r="AC92" s="782"/>
      <c r="AD92" s="823">
        <v>0.19</v>
      </c>
      <c r="AE92" s="823"/>
      <c r="AF92" s="823"/>
      <c r="AG92" s="823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Y92" s="789"/>
      <c r="AZ92" s="789"/>
    </row>
    <row r="93" spans="1:54" s="1" customFormat="1" ht="15.6" customHeight="1" x14ac:dyDescent="0.15">
      <c r="A93" s="52"/>
      <c r="B93" s="771"/>
      <c r="C93" s="772"/>
      <c r="D93" s="773"/>
      <c r="E93" s="784" t="s">
        <v>53</v>
      </c>
      <c r="F93" s="784"/>
      <c r="G93" s="784"/>
      <c r="H93" s="784"/>
      <c r="I93" s="784"/>
      <c r="J93" s="790">
        <v>600</v>
      </c>
      <c r="K93" s="790"/>
      <c r="L93" s="790"/>
      <c r="M93" s="790"/>
      <c r="N93" s="791">
        <f>J93/SUM(J92:M96)</f>
        <v>0.4971002485501243</v>
      </c>
      <c r="O93" s="791"/>
      <c r="P93" s="791"/>
      <c r="Q93" s="791"/>
      <c r="R93" s="792">
        <v>391</v>
      </c>
      <c r="S93" s="790"/>
      <c r="T93" s="790"/>
      <c r="U93" s="790"/>
      <c r="V93" s="793">
        <f>R93/V86</f>
        <v>0.35448776065276516</v>
      </c>
      <c r="W93" s="794"/>
      <c r="X93" s="794"/>
      <c r="Y93" s="795"/>
      <c r="Z93" s="796">
        <f>42+50+26+32+39+40</f>
        <v>229</v>
      </c>
      <c r="AA93" s="797"/>
      <c r="AB93" s="797"/>
      <c r="AC93" s="797"/>
      <c r="AD93" s="783">
        <f>Z93/AA86</f>
        <v>0.41187050359712229</v>
      </c>
      <c r="AE93" s="783"/>
      <c r="AF93" s="783"/>
      <c r="AG93" s="783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Y93" s="789"/>
      <c r="AZ93" s="789"/>
    </row>
    <row r="94" spans="1:54" s="1" customFormat="1" ht="15.6" customHeight="1" x14ac:dyDescent="0.15">
      <c r="A94" s="52"/>
      <c r="B94" s="771"/>
      <c r="C94" s="772"/>
      <c r="D94" s="773"/>
      <c r="E94" s="784" t="s">
        <v>54</v>
      </c>
      <c r="F94" s="784"/>
      <c r="G94" s="784"/>
      <c r="H94" s="784"/>
      <c r="I94" s="784"/>
      <c r="J94" s="790">
        <v>20</v>
      </c>
      <c r="K94" s="790"/>
      <c r="L94" s="790"/>
      <c r="M94" s="790"/>
      <c r="N94" s="791">
        <f>J94/SUM(J92:M96)</f>
        <v>1.6570008285004142E-2</v>
      </c>
      <c r="O94" s="791"/>
      <c r="P94" s="791"/>
      <c r="Q94" s="791"/>
      <c r="R94" s="792">
        <v>15</v>
      </c>
      <c r="S94" s="790"/>
      <c r="T94" s="790"/>
      <c r="U94" s="790"/>
      <c r="V94" s="793">
        <f>R94/V86</f>
        <v>1.3599274705349048E-2</v>
      </c>
      <c r="W94" s="794"/>
      <c r="X94" s="794"/>
      <c r="Y94" s="795"/>
      <c r="Z94" s="796">
        <f>2+0+4+0+0+0</f>
        <v>6</v>
      </c>
      <c r="AA94" s="797"/>
      <c r="AB94" s="797"/>
      <c r="AC94" s="797"/>
      <c r="AD94" s="783">
        <f>Z94/AA86</f>
        <v>1.0791366906474821E-2</v>
      </c>
      <c r="AE94" s="783"/>
      <c r="AF94" s="783"/>
      <c r="AG94" s="783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Y94" s="789"/>
      <c r="AZ94" s="789"/>
    </row>
    <row r="95" spans="1:54" s="1" customFormat="1" ht="15.6" customHeight="1" x14ac:dyDescent="0.15">
      <c r="A95" s="52"/>
      <c r="B95" s="771"/>
      <c r="C95" s="772"/>
      <c r="D95" s="773"/>
      <c r="E95" s="798" t="s">
        <v>55</v>
      </c>
      <c r="F95" s="798"/>
      <c r="G95" s="798"/>
      <c r="H95" s="798"/>
      <c r="I95" s="798"/>
      <c r="J95" s="790">
        <v>0</v>
      </c>
      <c r="K95" s="790"/>
      <c r="L95" s="790"/>
      <c r="M95" s="790"/>
      <c r="N95" s="791">
        <f>J95/SUM(J92:M96)</f>
        <v>0</v>
      </c>
      <c r="O95" s="791"/>
      <c r="P95" s="791"/>
      <c r="Q95" s="791"/>
      <c r="R95" s="792">
        <v>0</v>
      </c>
      <c r="S95" s="790"/>
      <c r="T95" s="790"/>
      <c r="U95" s="790"/>
      <c r="V95" s="793">
        <v>0</v>
      </c>
      <c r="W95" s="794"/>
      <c r="X95" s="794"/>
      <c r="Y95" s="795"/>
      <c r="Z95" s="796">
        <f>0+0+0+0+0+0</f>
        <v>0</v>
      </c>
      <c r="AA95" s="797"/>
      <c r="AB95" s="797"/>
      <c r="AC95" s="797"/>
      <c r="AD95" s="783">
        <v>0</v>
      </c>
      <c r="AE95" s="783"/>
      <c r="AF95" s="783"/>
      <c r="AG95" s="783"/>
      <c r="AH95" s="13"/>
      <c r="AI95" s="16"/>
      <c r="AJ95" s="16"/>
      <c r="AK95" s="799"/>
      <c r="AL95" s="799"/>
      <c r="AM95" s="799"/>
      <c r="AN95" s="13"/>
      <c r="AO95" s="13"/>
      <c r="AP95" s="72"/>
      <c r="AQ95" s="72"/>
      <c r="AR95" s="72"/>
      <c r="AS95" s="72"/>
      <c r="AT95" s="72"/>
      <c r="AU95" s="72"/>
      <c r="AV95" s="73"/>
      <c r="AW95" s="73"/>
      <c r="AX95" s="73"/>
      <c r="AY95" s="789"/>
      <c r="AZ95" s="789"/>
      <c r="BA95" s="73"/>
    </row>
    <row r="96" spans="1:54" s="1" customFormat="1" ht="15.6" customHeight="1" x14ac:dyDescent="0.15">
      <c r="A96" s="52"/>
      <c r="B96" s="774"/>
      <c r="C96" s="775"/>
      <c r="D96" s="776"/>
      <c r="E96" s="805" t="s">
        <v>56</v>
      </c>
      <c r="F96" s="805"/>
      <c r="G96" s="805"/>
      <c r="H96" s="805"/>
      <c r="I96" s="805"/>
      <c r="J96" s="806">
        <v>394</v>
      </c>
      <c r="K96" s="806"/>
      <c r="L96" s="806"/>
      <c r="M96" s="806"/>
      <c r="N96" s="807">
        <v>0.32600000000000001</v>
      </c>
      <c r="O96" s="807"/>
      <c r="P96" s="807"/>
      <c r="Q96" s="807"/>
      <c r="R96" s="808">
        <v>491</v>
      </c>
      <c r="S96" s="806"/>
      <c r="T96" s="806"/>
      <c r="U96" s="806"/>
      <c r="V96" s="809">
        <f>R96/V86</f>
        <v>0.44514959202175886</v>
      </c>
      <c r="W96" s="810"/>
      <c r="X96" s="810"/>
      <c r="Y96" s="811"/>
      <c r="Z96" s="812">
        <f>20+45+32+31+46+41</f>
        <v>215</v>
      </c>
      <c r="AA96" s="813"/>
      <c r="AB96" s="813"/>
      <c r="AC96" s="813"/>
      <c r="AD96" s="783">
        <f>Z96/AA86</f>
        <v>0.38669064748201437</v>
      </c>
      <c r="AE96" s="783"/>
      <c r="AF96" s="783"/>
      <c r="AG96" s="783"/>
      <c r="AH96" s="13"/>
      <c r="AI96" s="13"/>
      <c r="AJ96" s="800"/>
      <c r="AK96" s="800"/>
      <c r="AL96" s="800"/>
      <c r="AM96" s="13"/>
      <c r="AN96" s="13"/>
      <c r="AO96" s="13"/>
      <c r="AP96" s="13"/>
      <c r="AQ96" s="13"/>
      <c r="AR96" s="13"/>
      <c r="AS96" s="13"/>
      <c r="AT96" s="13"/>
      <c r="AU96" s="13"/>
      <c r="AY96" s="789"/>
      <c r="AZ96" s="789"/>
      <c r="BA96" s="801"/>
      <c r="BB96" s="801"/>
    </row>
    <row r="97" spans="1:54" s="1" customFormat="1" ht="15.6" customHeight="1" x14ac:dyDescent="0.15">
      <c r="A97" s="52"/>
      <c r="B97" s="768" t="s">
        <v>75</v>
      </c>
      <c r="C97" s="769"/>
      <c r="D97" s="770"/>
      <c r="E97" s="777" t="s">
        <v>57</v>
      </c>
      <c r="F97" s="777"/>
      <c r="G97" s="777"/>
      <c r="H97" s="777"/>
      <c r="I97" s="777"/>
      <c r="J97" s="778">
        <v>113</v>
      </c>
      <c r="K97" s="778"/>
      <c r="L97" s="778"/>
      <c r="M97" s="778"/>
      <c r="N97" s="779">
        <f>J97/SUM(J97:M100)</f>
        <v>9.3620546810273403E-2</v>
      </c>
      <c r="O97" s="779"/>
      <c r="P97" s="779"/>
      <c r="Q97" s="779"/>
      <c r="R97" s="778">
        <v>86</v>
      </c>
      <c r="S97" s="778"/>
      <c r="T97" s="778"/>
      <c r="U97" s="778"/>
      <c r="V97" s="802">
        <f>R97/SUM(R97:U100)</f>
        <v>7.7969174977334549E-2</v>
      </c>
      <c r="W97" s="803"/>
      <c r="X97" s="803"/>
      <c r="Y97" s="804"/>
      <c r="Z97" s="782">
        <f>3+16+6+5+31+7</f>
        <v>68</v>
      </c>
      <c r="AA97" s="782"/>
      <c r="AB97" s="782"/>
      <c r="AC97" s="782"/>
      <c r="AD97" s="814">
        <f>Z97/AA86</f>
        <v>0.1223021582733813</v>
      </c>
      <c r="AE97" s="814"/>
      <c r="AF97" s="814"/>
      <c r="AG97" s="814"/>
      <c r="AH97" s="13"/>
      <c r="AI97" s="13"/>
      <c r="AJ97" s="13"/>
      <c r="AK97" s="799"/>
      <c r="AL97" s="799"/>
      <c r="AM97" s="799"/>
      <c r="AN97" s="13"/>
      <c r="AO97" s="13"/>
      <c r="AP97" s="13"/>
      <c r="AQ97" s="13"/>
      <c r="AR97" s="13"/>
      <c r="AS97" s="13"/>
      <c r="AT97" s="13"/>
      <c r="AU97" s="13"/>
      <c r="AY97" s="789"/>
      <c r="AZ97" s="789"/>
    </row>
    <row r="98" spans="1:54" s="1" customFormat="1" ht="15.6" customHeight="1" x14ac:dyDescent="0.15">
      <c r="A98" s="52"/>
      <c r="B98" s="771"/>
      <c r="C98" s="772"/>
      <c r="D98" s="773"/>
      <c r="E98" s="784" t="s">
        <v>58</v>
      </c>
      <c r="F98" s="784"/>
      <c r="G98" s="784"/>
      <c r="H98" s="784"/>
      <c r="I98" s="784"/>
      <c r="J98" s="790">
        <v>62</v>
      </c>
      <c r="K98" s="790"/>
      <c r="L98" s="790"/>
      <c r="M98" s="790"/>
      <c r="N98" s="791">
        <f>J98/SUM(J97:M100)</f>
        <v>5.136702568351284E-2</v>
      </c>
      <c r="O98" s="791"/>
      <c r="P98" s="791"/>
      <c r="Q98" s="791"/>
      <c r="R98" s="790">
        <v>57</v>
      </c>
      <c r="S98" s="790"/>
      <c r="T98" s="790"/>
      <c r="U98" s="790"/>
      <c r="V98" s="793">
        <f>R98/SUM(R97:U100)</f>
        <v>5.1677243880326386E-2</v>
      </c>
      <c r="W98" s="794"/>
      <c r="X98" s="794"/>
      <c r="Y98" s="795"/>
      <c r="Z98" s="797">
        <f>2+2+7+5+4+2</f>
        <v>22</v>
      </c>
      <c r="AA98" s="797"/>
      <c r="AB98" s="797"/>
      <c r="AC98" s="797"/>
      <c r="AD98" s="783">
        <f>Z98/AA86</f>
        <v>3.9568345323741004E-2</v>
      </c>
      <c r="AE98" s="783"/>
      <c r="AF98" s="783"/>
      <c r="AG98" s="78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Y98" s="789"/>
      <c r="AZ98" s="789"/>
    </row>
    <row r="99" spans="1:54" s="3" customFormat="1" ht="15.6" customHeight="1" x14ac:dyDescent="0.15">
      <c r="A99" s="52"/>
      <c r="B99" s="771"/>
      <c r="C99" s="772"/>
      <c r="D99" s="773"/>
      <c r="E99" s="784" t="s">
        <v>59</v>
      </c>
      <c r="F99" s="784"/>
      <c r="G99" s="784"/>
      <c r="H99" s="784"/>
      <c r="I99" s="784"/>
      <c r="J99" s="790">
        <v>341</v>
      </c>
      <c r="K99" s="790"/>
      <c r="L99" s="790"/>
      <c r="M99" s="790"/>
      <c r="N99" s="791">
        <f>J99/SUM(J97:M100)</f>
        <v>0.28251864125932064</v>
      </c>
      <c r="O99" s="791"/>
      <c r="P99" s="791"/>
      <c r="Q99" s="791"/>
      <c r="R99" s="790">
        <v>361</v>
      </c>
      <c r="S99" s="790"/>
      <c r="T99" s="790"/>
      <c r="U99" s="790"/>
      <c r="V99" s="793">
        <f>R99/SUM(R97:U100)</f>
        <v>0.32728921124206711</v>
      </c>
      <c r="W99" s="794"/>
      <c r="X99" s="794"/>
      <c r="Y99" s="795"/>
      <c r="Z99" s="797">
        <f>21+36+30+21+9+34</f>
        <v>151</v>
      </c>
      <c r="AA99" s="797"/>
      <c r="AB99" s="797"/>
      <c r="AC99" s="797"/>
      <c r="AD99" s="783">
        <v>0.27100000000000002</v>
      </c>
      <c r="AE99" s="783"/>
      <c r="AF99" s="783"/>
      <c r="AG99" s="78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4"/>
      <c r="AS99" s="14"/>
      <c r="AT99" s="14"/>
      <c r="AU99" s="14"/>
      <c r="AY99" s="789"/>
      <c r="AZ99" s="789"/>
    </row>
    <row r="100" spans="1:54" s="3" customFormat="1" ht="15.6" customHeight="1" x14ac:dyDescent="0.15">
      <c r="A100" s="52"/>
      <c r="B100" s="774"/>
      <c r="C100" s="775"/>
      <c r="D100" s="776"/>
      <c r="E100" s="805" t="s">
        <v>56</v>
      </c>
      <c r="F100" s="805"/>
      <c r="G100" s="805"/>
      <c r="H100" s="805"/>
      <c r="I100" s="805"/>
      <c r="J100" s="806">
        <v>691</v>
      </c>
      <c r="K100" s="806"/>
      <c r="L100" s="806"/>
      <c r="M100" s="806"/>
      <c r="N100" s="807">
        <f>J100/SUM(J97:M100)</f>
        <v>0.57249378624689318</v>
      </c>
      <c r="O100" s="807"/>
      <c r="P100" s="807"/>
      <c r="Q100" s="807"/>
      <c r="R100" s="806">
        <v>599</v>
      </c>
      <c r="S100" s="806"/>
      <c r="T100" s="806"/>
      <c r="U100" s="806"/>
      <c r="V100" s="809">
        <f>R100/SUM(R97:U100)</f>
        <v>0.54306436990027196</v>
      </c>
      <c r="W100" s="810"/>
      <c r="X100" s="810"/>
      <c r="Y100" s="811"/>
      <c r="Z100" s="813">
        <f>51+68+37+50+59+50</f>
        <v>315</v>
      </c>
      <c r="AA100" s="813"/>
      <c r="AB100" s="813"/>
      <c r="AC100" s="813"/>
      <c r="AD100" s="817">
        <f>Z100/AA86</f>
        <v>0.56654676258992809</v>
      </c>
      <c r="AE100" s="817"/>
      <c r="AF100" s="817"/>
      <c r="AG100" s="817"/>
      <c r="AH100" s="13"/>
      <c r="AI100" s="13"/>
      <c r="AJ100" s="800"/>
      <c r="AK100" s="800"/>
      <c r="AL100" s="800"/>
      <c r="AM100" s="83"/>
      <c r="AN100" s="13"/>
      <c r="AO100" s="13"/>
      <c r="AP100" s="13"/>
      <c r="AQ100" s="13"/>
      <c r="AR100" s="14"/>
      <c r="AS100" s="14"/>
      <c r="AT100" s="14"/>
      <c r="AU100" s="14"/>
      <c r="AY100" s="789"/>
      <c r="AZ100" s="789"/>
      <c r="BA100" s="789"/>
      <c r="BB100" s="789"/>
    </row>
    <row r="101" spans="1:54" s="3" customFormat="1" ht="15.6" customHeight="1" x14ac:dyDescent="0.15">
      <c r="A101" s="55"/>
      <c r="Y101" s="2"/>
      <c r="Z101" s="2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4"/>
      <c r="AS101" s="14"/>
      <c r="AT101" s="14"/>
      <c r="AU101" s="14"/>
      <c r="AY101" s="79"/>
      <c r="AZ101" s="79"/>
    </row>
    <row r="102" spans="1:54" s="3" customFormat="1" ht="15.6" customHeight="1" x14ac:dyDescent="0.15">
      <c r="A102" s="55" t="s">
        <v>1</v>
      </c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AG102" s="4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4"/>
      <c r="AS102" s="14"/>
      <c r="AT102" s="14"/>
      <c r="AU102" s="14"/>
      <c r="AY102" s="79"/>
      <c r="AZ102" s="79"/>
    </row>
    <row r="103" spans="1:54" s="3" customFormat="1" ht="15.6" customHeight="1" x14ac:dyDescent="0.15">
      <c r="A103" s="50" t="s">
        <v>176</v>
      </c>
      <c r="AG103" s="4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4"/>
      <c r="AS103" s="14"/>
      <c r="AT103" s="14"/>
      <c r="AU103" s="14"/>
      <c r="AY103" s="79"/>
      <c r="AZ103" s="79"/>
    </row>
    <row r="104" spans="1:54" s="3" customFormat="1" ht="15.6" customHeight="1" x14ac:dyDescent="0.15">
      <c r="A104" s="55"/>
      <c r="B104" s="595" t="s">
        <v>14</v>
      </c>
      <c r="C104" s="595"/>
      <c r="D104" s="595" t="s">
        <v>15</v>
      </c>
      <c r="E104" s="595"/>
      <c r="F104" s="595"/>
      <c r="G104" s="595"/>
      <c r="H104" s="595"/>
      <c r="I104" s="595" t="s">
        <v>16</v>
      </c>
      <c r="J104" s="595"/>
      <c r="K104" s="595"/>
      <c r="L104" s="595"/>
      <c r="M104" s="595"/>
      <c r="N104" s="595" t="s">
        <v>17</v>
      </c>
      <c r="O104" s="595"/>
      <c r="P104" s="595"/>
      <c r="Q104" s="595"/>
      <c r="R104" s="595"/>
      <c r="S104" s="595" t="s">
        <v>18</v>
      </c>
      <c r="T104" s="595"/>
      <c r="U104" s="595"/>
      <c r="V104" s="595"/>
      <c r="W104" s="595"/>
      <c r="X104" s="595" t="s">
        <v>19</v>
      </c>
      <c r="Y104" s="595"/>
      <c r="Z104" s="595"/>
      <c r="AA104" s="595"/>
      <c r="AB104" s="595"/>
      <c r="AC104" s="595" t="s">
        <v>20</v>
      </c>
      <c r="AD104" s="595"/>
      <c r="AE104" s="595"/>
      <c r="AF104" s="595"/>
      <c r="AG104" s="7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Y104" s="79"/>
      <c r="AZ104" s="79"/>
    </row>
    <row r="105" spans="1:54" ht="15.6" customHeight="1" x14ac:dyDescent="0.15">
      <c r="A105" s="52"/>
      <c r="B105" s="815" t="s">
        <v>9</v>
      </c>
      <c r="C105" s="815"/>
      <c r="D105" s="816">
        <v>46</v>
      </c>
      <c r="E105" s="816"/>
      <c r="F105" s="816"/>
      <c r="G105" s="816"/>
      <c r="H105" s="816"/>
      <c r="I105" s="816">
        <v>2</v>
      </c>
      <c r="J105" s="816"/>
      <c r="K105" s="816"/>
      <c r="L105" s="816"/>
      <c r="M105" s="816"/>
      <c r="N105" s="816">
        <v>0</v>
      </c>
      <c r="O105" s="816"/>
      <c r="P105" s="816"/>
      <c r="Q105" s="816"/>
      <c r="R105" s="816"/>
      <c r="S105" s="816">
        <v>43</v>
      </c>
      <c r="T105" s="816"/>
      <c r="U105" s="816"/>
      <c r="V105" s="816"/>
      <c r="W105" s="816"/>
      <c r="X105" s="816">
        <v>19</v>
      </c>
      <c r="Y105" s="816"/>
      <c r="Z105" s="816"/>
      <c r="AA105" s="816"/>
      <c r="AB105" s="816"/>
      <c r="AC105" s="816">
        <f>S105-X105</f>
        <v>24</v>
      </c>
      <c r="AD105" s="816"/>
      <c r="AE105" s="816"/>
      <c r="AF105" s="816"/>
    </row>
    <row r="106" spans="1:54" ht="15.6" customHeight="1" x14ac:dyDescent="0.15">
      <c r="A106" s="50" t="s">
        <v>203</v>
      </c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</row>
    <row r="107" spans="1:54" ht="15.6" customHeight="1" x14ac:dyDescent="0.15">
      <c r="A107" s="55"/>
      <c r="B107" s="595" t="s">
        <v>14</v>
      </c>
      <c r="C107" s="595"/>
      <c r="D107" s="595" t="s">
        <v>15</v>
      </c>
      <c r="E107" s="595"/>
      <c r="F107" s="595"/>
      <c r="G107" s="595"/>
      <c r="H107" s="595"/>
      <c r="I107" s="595" t="s">
        <v>16</v>
      </c>
      <c r="J107" s="595"/>
      <c r="K107" s="595"/>
      <c r="L107" s="595"/>
      <c r="M107" s="595"/>
      <c r="N107" s="595" t="s">
        <v>17</v>
      </c>
      <c r="O107" s="595"/>
      <c r="P107" s="595"/>
      <c r="Q107" s="595"/>
      <c r="R107" s="595"/>
      <c r="S107" s="595" t="s">
        <v>18</v>
      </c>
      <c r="T107" s="595"/>
      <c r="U107" s="595"/>
      <c r="V107" s="595"/>
      <c r="W107" s="595"/>
      <c r="X107" s="595" t="s">
        <v>19</v>
      </c>
      <c r="Y107" s="595"/>
      <c r="Z107" s="595"/>
      <c r="AA107" s="595"/>
      <c r="AB107" s="595"/>
      <c r="AC107" s="595" t="s">
        <v>20</v>
      </c>
      <c r="AD107" s="595"/>
      <c r="AE107" s="595"/>
      <c r="AF107" s="595"/>
    </row>
    <row r="108" spans="1:54" s="7" customFormat="1" ht="15.6" customHeight="1" x14ac:dyDescent="0.15">
      <c r="A108" s="13"/>
      <c r="B108" s="827" t="s">
        <v>9</v>
      </c>
      <c r="C108" s="827"/>
      <c r="D108" s="750">
        <f>1+4+5+1+5+5</f>
        <v>21</v>
      </c>
      <c r="E108" s="750"/>
      <c r="F108" s="750"/>
      <c r="G108" s="750"/>
      <c r="H108" s="750"/>
      <c r="I108" s="750">
        <f>0+0+1+0+0+0</f>
        <v>1</v>
      </c>
      <c r="J108" s="750"/>
      <c r="K108" s="750"/>
      <c r="L108" s="750"/>
      <c r="M108" s="750"/>
      <c r="N108" s="750">
        <f>0+0+0+0+2+0</f>
        <v>2</v>
      </c>
      <c r="O108" s="750"/>
      <c r="P108" s="750"/>
      <c r="Q108" s="750"/>
      <c r="R108" s="750"/>
      <c r="S108" s="750">
        <f>3+3+0+3+3+2</f>
        <v>14</v>
      </c>
      <c r="T108" s="750"/>
      <c r="U108" s="750"/>
      <c r="V108" s="750"/>
      <c r="W108" s="750"/>
      <c r="X108" s="750">
        <f>0+6+1+2+1+2</f>
        <v>12</v>
      </c>
      <c r="Y108" s="750"/>
      <c r="Z108" s="750"/>
      <c r="AA108" s="750"/>
      <c r="AB108" s="750"/>
      <c r="AC108" s="750">
        <f>S108-X108</f>
        <v>2</v>
      </c>
      <c r="AD108" s="750"/>
      <c r="AE108" s="750"/>
      <c r="AF108" s="750"/>
      <c r="AY108" s="80"/>
      <c r="AZ108" s="80"/>
    </row>
    <row r="110" spans="1:54" ht="15.6" customHeight="1" x14ac:dyDescent="0.15">
      <c r="I110" s="820"/>
      <c r="J110" s="819"/>
      <c r="K110" s="819"/>
      <c r="L110" s="819"/>
      <c r="S110" s="820"/>
      <c r="T110" s="819"/>
      <c r="U110" s="819"/>
      <c r="V110" s="819"/>
      <c r="Z110" s="820"/>
      <c r="AA110" s="819"/>
      <c r="AB110" s="819"/>
      <c r="AC110" s="819"/>
    </row>
    <row r="111" spans="1:54" ht="15.6" customHeight="1" x14ac:dyDescent="0.15">
      <c r="D111" s="19"/>
      <c r="I111" s="819"/>
      <c r="J111" s="819"/>
      <c r="K111" s="819"/>
      <c r="L111" s="819"/>
      <c r="M111" s="819"/>
      <c r="N111" s="821"/>
      <c r="O111" s="821"/>
      <c r="P111" s="821"/>
      <c r="Q111" s="821"/>
      <c r="R111" s="819"/>
      <c r="S111" s="819"/>
      <c r="T111" s="819"/>
      <c r="U111" s="819"/>
      <c r="Z111" s="819"/>
      <c r="AA111" s="819"/>
      <c r="AB111" s="819"/>
      <c r="AC111" s="819"/>
    </row>
    <row r="112" spans="1:54" ht="15.6" customHeight="1" x14ac:dyDescent="0.15">
      <c r="I112" s="819"/>
      <c r="J112" s="819"/>
      <c r="K112" s="819"/>
      <c r="L112" s="819"/>
      <c r="M112" s="819"/>
      <c r="N112" s="819"/>
      <c r="O112" s="819"/>
      <c r="P112" s="819"/>
      <c r="Q112" s="819"/>
      <c r="R112" s="819"/>
      <c r="S112" s="819"/>
      <c r="T112" s="819"/>
      <c r="U112" s="819"/>
      <c r="Z112" s="819"/>
      <c r="AA112" s="819"/>
      <c r="AB112" s="819"/>
      <c r="AC112" s="819"/>
    </row>
    <row r="113" spans="4:29" ht="15.6" customHeight="1" x14ac:dyDescent="0.15">
      <c r="D113" s="19"/>
      <c r="I113" s="819"/>
      <c r="J113" s="819"/>
      <c r="K113" s="819"/>
      <c r="L113" s="819"/>
      <c r="M113" s="819"/>
      <c r="N113" s="819"/>
      <c r="O113" s="819"/>
      <c r="P113" s="819"/>
      <c r="Q113" s="819"/>
      <c r="R113" s="819"/>
      <c r="S113" s="819"/>
      <c r="T113" s="819"/>
      <c r="U113" s="819"/>
      <c r="Z113" s="819"/>
      <c r="AA113" s="819"/>
      <c r="AB113" s="819"/>
      <c r="AC113" s="819"/>
    </row>
  </sheetData>
  <mergeCells count="482">
    <mergeCell ref="I112:M112"/>
    <mergeCell ref="N112:Q112"/>
    <mergeCell ref="R112:U112"/>
    <mergeCell ref="Z112:AC112"/>
    <mergeCell ref="I113:M113"/>
    <mergeCell ref="N113:Q113"/>
    <mergeCell ref="R113:U113"/>
    <mergeCell ref="Z113:AC113"/>
    <mergeCell ref="I110:L110"/>
    <mergeCell ref="S110:V110"/>
    <mergeCell ref="Z110:AC110"/>
    <mergeCell ref="I111:M111"/>
    <mergeCell ref="N111:Q111"/>
    <mergeCell ref="R111:U111"/>
    <mergeCell ref="Z111:AC111"/>
    <mergeCell ref="B108:C108"/>
    <mergeCell ref="D108:H108"/>
    <mergeCell ref="I108:M108"/>
    <mergeCell ref="N108:R108"/>
    <mergeCell ref="S108:W108"/>
    <mergeCell ref="X108:AB108"/>
    <mergeCell ref="AC108:AF108"/>
    <mergeCell ref="B107:C107"/>
    <mergeCell ref="D107:H107"/>
    <mergeCell ref="I107:M107"/>
    <mergeCell ref="N107:R107"/>
    <mergeCell ref="S107:W107"/>
    <mergeCell ref="X107:AB107"/>
    <mergeCell ref="B105:C105"/>
    <mergeCell ref="D105:H105"/>
    <mergeCell ref="I105:M105"/>
    <mergeCell ref="N105:R105"/>
    <mergeCell ref="S105:W105"/>
    <mergeCell ref="X105:AB105"/>
    <mergeCell ref="AC105:AF105"/>
    <mergeCell ref="AD100:AG100"/>
    <mergeCell ref="AC107:AF107"/>
    <mergeCell ref="AJ100:AL100"/>
    <mergeCell ref="AY100:AZ100"/>
    <mergeCell ref="BA100:BB100"/>
    <mergeCell ref="B104:C104"/>
    <mergeCell ref="D104:H104"/>
    <mergeCell ref="I104:M104"/>
    <mergeCell ref="N104:R104"/>
    <mergeCell ref="S104:W104"/>
    <mergeCell ref="X104:AB104"/>
    <mergeCell ref="E100:I100"/>
    <mergeCell ref="J100:M100"/>
    <mergeCell ref="N100:Q100"/>
    <mergeCell ref="R100:U100"/>
    <mergeCell ref="V100:Y100"/>
    <mergeCell ref="Z100:AC100"/>
    <mergeCell ref="AC104:AF104"/>
    <mergeCell ref="Z98:AC98"/>
    <mergeCell ref="AD98:AG98"/>
    <mergeCell ref="AY98:AZ98"/>
    <mergeCell ref="E99:I99"/>
    <mergeCell ref="J99:M99"/>
    <mergeCell ref="N99:Q99"/>
    <mergeCell ref="R99:U99"/>
    <mergeCell ref="V99:Y99"/>
    <mergeCell ref="Z99:AC99"/>
    <mergeCell ref="AD99:AG99"/>
    <mergeCell ref="AY99:AZ99"/>
    <mergeCell ref="AJ96:AL96"/>
    <mergeCell ref="AY96:AZ96"/>
    <mergeCell ref="BA96:BB96"/>
    <mergeCell ref="B97:D100"/>
    <mergeCell ref="E97:I97"/>
    <mergeCell ref="J97:M97"/>
    <mergeCell ref="N97:Q97"/>
    <mergeCell ref="R97:U97"/>
    <mergeCell ref="V97:Y97"/>
    <mergeCell ref="E96:I96"/>
    <mergeCell ref="J96:M96"/>
    <mergeCell ref="N96:Q96"/>
    <mergeCell ref="R96:U96"/>
    <mergeCell ref="V96:Y96"/>
    <mergeCell ref="Z96:AC96"/>
    <mergeCell ref="Z97:AC97"/>
    <mergeCell ref="AD97:AG97"/>
    <mergeCell ref="AK97:AM97"/>
    <mergeCell ref="AY97:AZ97"/>
    <mergeCell ref="E98:I98"/>
    <mergeCell ref="J98:M98"/>
    <mergeCell ref="N98:Q98"/>
    <mergeCell ref="R98:U98"/>
    <mergeCell ref="V98:Y98"/>
    <mergeCell ref="AY94:AZ94"/>
    <mergeCell ref="E95:I95"/>
    <mergeCell ref="J95:M95"/>
    <mergeCell ref="N95:Q95"/>
    <mergeCell ref="R95:U95"/>
    <mergeCell ref="V95:Y95"/>
    <mergeCell ref="Z95:AC95"/>
    <mergeCell ref="AD95:AG95"/>
    <mergeCell ref="AK95:AM95"/>
    <mergeCell ref="AY95:AZ95"/>
    <mergeCell ref="J94:M94"/>
    <mergeCell ref="N94:Q94"/>
    <mergeCell ref="R94:U94"/>
    <mergeCell ref="V94:Y94"/>
    <mergeCell ref="Z94:AC94"/>
    <mergeCell ref="AD94:AG94"/>
    <mergeCell ref="AY92:AZ92"/>
    <mergeCell ref="E93:I93"/>
    <mergeCell ref="J93:M93"/>
    <mergeCell ref="N93:Q93"/>
    <mergeCell ref="R93:U93"/>
    <mergeCell ref="V93:Y93"/>
    <mergeCell ref="Z93:AC93"/>
    <mergeCell ref="AD93:AG93"/>
    <mergeCell ref="AY93:AZ93"/>
    <mergeCell ref="AD91:AG91"/>
    <mergeCell ref="B92:D96"/>
    <mergeCell ref="E92:I92"/>
    <mergeCell ref="J92:M92"/>
    <mergeCell ref="N92:Q92"/>
    <mergeCell ref="R92:U92"/>
    <mergeCell ref="V92:Y92"/>
    <mergeCell ref="Z92:AC92"/>
    <mergeCell ref="AD92:AG92"/>
    <mergeCell ref="E94:I94"/>
    <mergeCell ref="B90:D91"/>
    <mergeCell ref="E90:I91"/>
    <mergeCell ref="J90:Q90"/>
    <mergeCell ref="R90:Y90"/>
    <mergeCell ref="Z90:AG90"/>
    <mergeCell ref="J91:M91"/>
    <mergeCell ref="N91:Q91"/>
    <mergeCell ref="R91:U91"/>
    <mergeCell ref="V91:Y91"/>
    <mergeCell ref="Z91:AC91"/>
    <mergeCell ref="AD96:AG96"/>
    <mergeCell ref="AI86:AK86"/>
    <mergeCell ref="B87:F87"/>
    <mergeCell ref="G87:K87"/>
    <mergeCell ref="L87:P87"/>
    <mergeCell ref="Q87:U87"/>
    <mergeCell ref="V87:Z87"/>
    <mergeCell ref="AA87:AE87"/>
    <mergeCell ref="AA85:AE85"/>
    <mergeCell ref="B86:F86"/>
    <mergeCell ref="G86:K86"/>
    <mergeCell ref="L86:P86"/>
    <mergeCell ref="Q86:U86"/>
    <mergeCell ref="V86:Z86"/>
    <mergeCell ref="AA86:AE86"/>
    <mergeCell ref="B82:G82"/>
    <mergeCell ref="H82:M82"/>
    <mergeCell ref="N82:S82"/>
    <mergeCell ref="T82:Y82"/>
    <mergeCell ref="Z82:AG82"/>
    <mergeCell ref="B85:F85"/>
    <mergeCell ref="G85:K85"/>
    <mergeCell ref="L85:P85"/>
    <mergeCell ref="Q85:U85"/>
    <mergeCell ref="V85:Z85"/>
    <mergeCell ref="B80:G80"/>
    <mergeCell ref="H80:M80"/>
    <mergeCell ref="N80:S80"/>
    <mergeCell ref="T80:Y80"/>
    <mergeCell ref="Z80:AG80"/>
    <mergeCell ref="B81:G81"/>
    <mergeCell ref="H81:M81"/>
    <mergeCell ref="N81:S81"/>
    <mergeCell ref="T81:Y81"/>
    <mergeCell ref="Z81:AG81"/>
    <mergeCell ref="B78:G78"/>
    <mergeCell ref="H78:M78"/>
    <mergeCell ref="N78:S78"/>
    <mergeCell ref="T78:Y78"/>
    <mergeCell ref="Z78:AG78"/>
    <mergeCell ref="B79:G79"/>
    <mergeCell ref="H79:M79"/>
    <mergeCell ref="N79:S79"/>
    <mergeCell ref="T79:Y79"/>
    <mergeCell ref="Z79:AG79"/>
    <mergeCell ref="H71:J72"/>
    <mergeCell ref="K71:L72"/>
    <mergeCell ref="M71:N72"/>
    <mergeCell ref="O71:Q72"/>
    <mergeCell ref="X73:Y73"/>
    <mergeCell ref="Z73:AB73"/>
    <mergeCell ref="AC73:AD73"/>
    <mergeCell ref="AE73:AG73"/>
    <mergeCell ref="B76:G77"/>
    <mergeCell ref="H76:Y76"/>
    <mergeCell ref="Z76:AG77"/>
    <mergeCell ref="H77:M77"/>
    <mergeCell ref="N77:S77"/>
    <mergeCell ref="T77:Y77"/>
    <mergeCell ref="AQ67:AR67"/>
    <mergeCell ref="AQ68:AR68"/>
    <mergeCell ref="V67:W68"/>
    <mergeCell ref="X67:Y68"/>
    <mergeCell ref="Z67:AB68"/>
    <mergeCell ref="AC67:AD68"/>
    <mergeCell ref="AE71:AG72"/>
    <mergeCell ref="B73:D73"/>
    <mergeCell ref="E73:G73"/>
    <mergeCell ref="H73:J73"/>
    <mergeCell ref="K73:L73"/>
    <mergeCell ref="M73:N73"/>
    <mergeCell ref="O73:Q73"/>
    <mergeCell ref="R73:S73"/>
    <mergeCell ref="T73:U73"/>
    <mergeCell ref="V73:W73"/>
    <mergeCell ref="R71:S72"/>
    <mergeCell ref="T71:U72"/>
    <mergeCell ref="V71:W72"/>
    <mergeCell ref="X71:Y72"/>
    <mergeCell ref="Z71:AB72"/>
    <mergeCell ref="AC71:AD72"/>
    <mergeCell ref="B71:D72"/>
    <mergeCell ref="E71:G72"/>
    <mergeCell ref="AQ63:AR63"/>
    <mergeCell ref="AQ64:AR64"/>
    <mergeCell ref="B69:D70"/>
    <mergeCell ref="E69:G70"/>
    <mergeCell ref="H69:J70"/>
    <mergeCell ref="K69:L70"/>
    <mergeCell ref="M69:N70"/>
    <mergeCell ref="O69:Q70"/>
    <mergeCell ref="R69:S70"/>
    <mergeCell ref="R67:S68"/>
    <mergeCell ref="T67:U68"/>
    <mergeCell ref="B67:D68"/>
    <mergeCell ref="E67:G68"/>
    <mergeCell ref="H67:J68"/>
    <mergeCell ref="K67:L68"/>
    <mergeCell ref="M67:N68"/>
    <mergeCell ref="O67:Q68"/>
    <mergeCell ref="T69:U70"/>
    <mergeCell ref="V69:W70"/>
    <mergeCell ref="X69:Y70"/>
    <mergeCell ref="Z69:AB70"/>
    <mergeCell ref="AC69:AD70"/>
    <mergeCell ref="AE69:AG70"/>
    <mergeCell ref="AE67:AG68"/>
    <mergeCell ref="B65:D66"/>
    <mergeCell ref="E65:G66"/>
    <mergeCell ref="H65:J66"/>
    <mergeCell ref="K65:L66"/>
    <mergeCell ref="M65:N66"/>
    <mergeCell ref="O65:Q66"/>
    <mergeCell ref="R65:S66"/>
    <mergeCell ref="T65:U66"/>
    <mergeCell ref="AQ61:AR61"/>
    <mergeCell ref="F62:I62"/>
    <mergeCell ref="J62:M62"/>
    <mergeCell ref="N62:Q62"/>
    <mergeCell ref="R62:U62"/>
    <mergeCell ref="V62:Y62"/>
    <mergeCell ref="Z62:AC62"/>
    <mergeCell ref="AD62:AG62"/>
    <mergeCell ref="AQ62:AR62"/>
    <mergeCell ref="V65:W66"/>
    <mergeCell ref="X65:Y66"/>
    <mergeCell ref="Z65:AB66"/>
    <mergeCell ref="AC65:AD66"/>
    <mergeCell ref="AE65:AG66"/>
    <mergeCell ref="AQ65:AR65"/>
    <mergeCell ref="AQ66:AR66"/>
    <mergeCell ref="V58:Y58"/>
    <mergeCell ref="Z58:AC58"/>
    <mergeCell ref="AD58:AG58"/>
    <mergeCell ref="B61:E62"/>
    <mergeCell ref="F61:I61"/>
    <mergeCell ref="J61:M61"/>
    <mergeCell ref="N61:Q61"/>
    <mergeCell ref="R61:U61"/>
    <mergeCell ref="V61:Y61"/>
    <mergeCell ref="Z61:AC61"/>
    <mergeCell ref="AD61:AG61"/>
    <mergeCell ref="F60:I60"/>
    <mergeCell ref="J60:M60"/>
    <mergeCell ref="N60:Q60"/>
    <mergeCell ref="R60:U60"/>
    <mergeCell ref="V60:Y60"/>
    <mergeCell ref="Z60:AC60"/>
    <mergeCell ref="F57:I57"/>
    <mergeCell ref="J57:M57"/>
    <mergeCell ref="N57:Q57"/>
    <mergeCell ref="R57:U57"/>
    <mergeCell ref="V57:Y57"/>
    <mergeCell ref="Z57:AC57"/>
    <mergeCell ref="AQ58:AR58"/>
    <mergeCell ref="B59:E60"/>
    <mergeCell ref="F59:I59"/>
    <mergeCell ref="J59:M59"/>
    <mergeCell ref="N59:Q59"/>
    <mergeCell ref="R59:U59"/>
    <mergeCell ref="V59:Y59"/>
    <mergeCell ref="Z59:AC59"/>
    <mergeCell ref="AD59:AG59"/>
    <mergeCell ref="AQ59:AR59"/>
    <mergeCell ref="B57:E58"/>
    <mergeCell ref="AD60:AG60"/>
    <mergeCell ref="AQ60:AR60"/>
    <mergeCell ref="AD57:AG57"/>
    <mergeCell ref="F58:I58"/>
    <mergeCell ref="J58:M58"/>
    <mergeCell ref="N58:Q58"/>
    <mergeCell ref="R58:U58"/>
    <mergeCell ref="W48:X48"/>
    <mergeCell ref="AC48:AD48"/>
    <mergeCell ref="D49:G49"/>
    <mergeCell ref="W49:X49"/>
    <mergeCell ref="AC49:AD49"/>
    <mergeCell ref="B56:E56"/>
    <mergeCell ref="F56:I56"/>
    <mergeCell ref="J56:M56"/>
    <mergeCell ref="N56:Q56"/>
    <mergeCell ref="R56:U56"/>
    <mergeCell ref="B39:C49"/>
    <mergeCell ref="D39:F39"/>
    <mergeCell ref="G39:H39"/>
    <mergeCell ref="L39:M39"/>
    <mergeCell ref="Q39:R39"/>
    <mergeCell ref="W39:X39"/>
    <mergeCell ref="AC39:AD39"/>
    <mergeCell ref="V56:Y56"/>
    <mergeCell ref="Z56:AC56"/>
    <mergeCell ref="AD56:AG56"/>
    <mergeCell ref="W45:X45"/>
    <mergeCell ref="AC45:AD45"/>
    <mergeCell ref="W46:X46"/>
    <mergeCell ref="AC46:AD46"/>
    <mergeCell ref="W47:X47"/>
    <mergeCell ref="AC47:AD47"/>
    <mergeCell ref="D43:G43"/>
    <mergeCell ref="Q43:R43"/>
    <mergeCell ref="W43:X43"/>
    <mergeCell ref="AC43:AD43"/>
    <mergeCell ref="W44:X44"/>
    <mergeCell ref="AC44:AD44"/>
    <mergeCell ref="AJ39:AM39"/>
    <mergeCell ref="D40:G40"/>
    <mergeCell ref="AJ41:AM41"/>
    <mergeCell ref="D42:G42"/>
    <mergeCell ref="L42:M42"/>
    <mergeCell ref="Q42:R42"/>
    <mergeCell ref="W42:X42"/>
    <mergeCell ref="AC42:AD42"/>
    <mergeCell ref="L40:M40"/>
    <mergeCell ref="Q40:R40"/>
    <mergeCell ref="W40:X40"/>
    <mergeCell ref="AC40:AD40"/>
    <mergeCell ref="D41:G41"/>
    <mergeCell ref="L41:M41"/>
    <mergeCell ref="Q41:R41"/>
    <mergeCell ref="W41:X41"/>
    <mergeCell ref="AC41:AD41"/>
    <mergeCell ref="AE37:AG37"/>
    <mergeCell ref="B38:C38"/>
    <mergeCell ref="D38:H38"/>
    <mergeCell ref="I38:M38"/>
    <mergeCell ref="N38:R38"/>
    <mergeCell ref="S38:X38"/>
    <mergeCell ref="Y38:AD38"/>
    <mergeCell ref="AE38:AG38"/>
    <mergeCell ref="AJ38:AM38"/>
    <mergeCell ref="W34:X34"/>
    <mergeCell ref="AC34:AD34"/>
    <mergeCell ref="D35:G35"/>
    <mergeCell ref="W35:X35"/>
    <mergeCell ref="AC35:AD35"/>
    <mergeCell ref="B37:C37"/>
    <mergeCell ref="D37:H37"/>
    <mergeCell ref="I37:M37"/>
    <mergeCell ref="N37:R37"/>
    <mergeCell ref="S37:X37"/>
    <mergeCell ref="B25:C35"/>
    <mergeCell ref="Y37:AD37"/>
    <mergeCell ref="W31:X31"/>
    <mergeCell ref="AC31:AD31"/>
    <mergeCell ref="W32:X32"/>
    <mergeCell ref="AC32:AD32"/>
    <mergeCell ref="W33:X33"/>
    <mergeCell ref="AC33:AD33"/>
    <mergeCell ref="D29:G29"/>
    <mergeCell ref="Q29:R29"/>
    <mergeCell ref="W29:X29"/>
    <mergeCell ref="AC29:AD29"/>
    <mergeCell ref="W30:X30"/>
    <mergeCell ref="AC30:AD30"/>
    <mergeCell ref="D28:G28"/>
    <mergeCell ref="L28:M28"/>
    <mergeCell ref="Q28:R28"/>
    <mergeCell ref="W28:X28"/>
    <mergeCell ref="AC28:AD28"/>
    <mergeCell ref="AC25:AD25"/>
    <mergeCell ref="D26:G26"/>
    <mergeCell ref="L26:M26"/>
    <mergeCell ref="Q26:R26"/>
    <mergeCell ref="W26:X26"/>
    <mergeCell ref="AC26:AD26"/>
    <mergeCell ref="D25:F25"/>
    <mergeCell ref="G25:H25"/>
    <mergeCell ref="L25:M25"/>
    <mergeCell ref="Q25:R25"/>
    <mergeCell ref="W25:X25"/>
    <mergeCell ref="D27:G27"/>
    <mergeCell ref="L27:M27"/>
    <mergeCell ref="Q27:R27"/>
    <mergeCell ref="W27:X27"/>
    <mergeCell ref="AE23:AG23"/>
    <mergeCell ref="B24:C24"/>
    <mergeCell ref="D24:H24"/>
    <mergeCell ref="I24:M24"/>
    <mergeCell ref="N24:R24"/>
    <mergeCell ref="S24:X24"/>
    <mergeCell ref="Y24:AD24"/>
    <mergeCell ref="AE24:AG24"/>
    <mergeCell ref="AC27:AD27"/>
    <mergeCell ref="D19:H19"/>
    <mergeCell ref="I19:M19"/>
    <mergeCell ref="N19:R19"/>
    <mergeCell ref="B23:C23"/>
    <mergeCell ref="D23:H23"/>
    <mergeCell ref="I23:M23"/>
    <mergeCell ref="N23:R23"/>
    <mergeCell ref="AH17:AK17"/>
    <mergeCell ref="AX17:AY17"/>
    <mergeCell ref="B18:H18"/>
    <mergeCell ref="I18:M18"/>
    <mergeCell ref="N18:R18"/>
    <mergeCell ref="S18:W18"/>
    <mergeCell ref="X18:AA18"/>
    <mergeCell ref="AC18:AG18"/>
    <mergeCell ref="AH18:AK18"/>
    <mergeCell ref="B17:H17"/>
    <mergeCell ref="I17:M17"/>
    <mergeCell ref="N17:R17"/>
    <mergeCell ref="S17:W17"/>
    <mergeCell ref="X17:AA17"/>
    <mergeCell ref="AC17:AG17"/>
    <mergeCell ref="S23:X23"/>
    <mergeCell ref="Y23:AD23"/>
    <mergeCell ref="AH15:AK15"/>
    <mergeCell ref="B16:H16"/>
    <mergeCell ref="I16:M16"/>
    <mergeCell ref="N16:R16"/>
    <mergeCell ref="S16:W16"/>
    <mergeCell ref="X16:AA16"/>
    <mergeCell ref="AC16:AG16"/>
    <mergeCell ref="AH16:AK16"/>
    <mergeCell ref="B15:H15"/>
    <mergeCell ref="I15:M15"/>
    <mergeCell ref="N15:R15"/>
    <mergeCell ref="S15:W15"/>
    <mergeCell ref="X15:AA15"/>
    <mergeCell ref="AC15:AG15"/>
    <mergeCell ref="AH13:AK13"/>
    <mergeCell ref="I14:M14"/>
    <mergeCell ref="N14:R14"/>
    <mergeCell ref="S14:W14"/>
    <mergeCell ref="X14:AA14"/>
    <mergeCell ref="AC14:AG14"/>
    <mergeCell ref="AH14:AK14"/>
    <mergeCell ref="Y11:AA11"/>
    <mergeCell ref="AC11:AG12"/>
    <mergeCell ref="Y12:AA12"/>
    <mergeCell ref="I13:M13"/>
    <mergeCell ref="N13:R13"/>
    <mergeCell ref="S13:W13"/>
    <mergeCell ref="X13:AA13"/>
    <mergeCell ref="AC13:AG13"/>
    <mergeCell ref="I7:M7"/>
    <mergeCell ref="I8:M8"/>
    <mergeCell ref="V8:X8"/>
    <mergeCell ref="B11:H12"/>
    <mergeCell ref="I11:M12"/>
    <mergeCell ref="N11:R12"/>
    <mergeCell ref="S11:W12"/>
    <mergeCell ref="A1:AG2"/>
    <mergeCell ref="AA3:AG4"/>
    <mergeCell ref="AA5:AG5"/>
    <mergeCell ref="B6:D6"/>
    <mergeCell ref="F6:L6"/>
    <mergeCell ref="M6:O6"/>
  </mergeCells>
  <phoneticPr fontId="9"/>
  <pageMargins left="0.59055118110236227" right="0.39370078740157483" top="0.39370078740157483" bottom="0.39370078740157483" header="0" footer="0"/>
  <pageSetup paperSize="9" scale="99" orientation="portrait" copies="9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BT113"/>
  <sheetViews>
    <sheetView view="pageBreakPreview" zoomScaleNormal="100" zoomScaleSheetLayoutView="100" workbookViewId="0">
      <selection activeCell="AA5" sqref="AA5:AG5"/>
    </sheetView>
  </sheetViews>
  <sheetFormatPr defaultColWidth="2.625" defaultRowHeight="15.6" customHeight="1" x14ac:dyDescent="0.15"/>
  <cols>
    <col min="1" max="1" width="2.625" style="69"/>
    <col min="2" max="29" width="2.625" style="4"/>
    <col min="30" max="30" width="2.625" style="4" customWidth="1"/>
    <col min="31" max="33" width="2.625" style="4"/>
    <col min="34" max="35" width="2.625" style="7"/>
    <col min="36" max="36" width="8.5" style="7" bestFit="1" customWidth="1"/>
    <col min="37" max="37" width="3.5" style="7" bestFit="1" customWidth="1"/>
    <col min="38" max="41" width="2.625" style="7"/>
    <col min="42" max="42" width="2.625" style="4"/>
    <col min="43" max="43" width="3.5" style="4" bestFit="1" customWidth="1"/>
    <col min="44" max="50" width="2.625" style="4"/>
    <col min="51" max="52" width="2.625" style="79"/>
    <col min="53" max="16384" width="2.625" style="4"/>
  </cols>
  <sheetData>
    <row r="1" spans="1:52" ht="15.6" customHeight="1" x14ac:dyDescent="0.15">
      <c r="A1" s="562" t="s">
        <v>6</v>
      </c>
      <c r="B1" s="562"/>
      <c r="C1" s="562"/>
      <c r="D1" s="562"/>
      <c r="E1" s="562"/>
      <c r="F1" s="562"/>
      <c r="G1" s="562"/>
      <c r="H1" s="562"/>
      <c r="I1" s="562"/>
      <c r="J1" s="562"/>
      <c r="K1" s="562"/>
      <c r="L1" s="562"/>
      <c r="M1" s="562"/>
      <c r="N1" s="562"/>
      <c r="O1" s="562"/>
      <c r="P1" s="562"/>
      <c r="Q1" s="562"/>
      <c r="R1" s="562"/>
      <c r="S1" s="562"/>
      <c r="T1" s="562"/>
      <c r="U1" s="562"/>
      <c r="V1" s="562"/>
      <c r="W1" s="562"/>
      <c r="X1" s="562"/>
      <c r="Y1" s="562"/>
      <c r="Z1" s="562"/>
      <c r="AA1" s="562"/>
      <c r="AB1" s="562"/>
      <c r="AC1" s="562"/>
      <c r="AD1" s="562"/>
      <c r="AE1" s="562"/>
      <c r="AF1" s="562"/>
      <c r="AG1" s="562"/>
      <c r="AH1" s="20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</row>
    <row r="2" spans="1:52" ht="15.6" customHeight="1" x14ac:dyDescent="0.15">
      <c r="A2" s="562"/>
      <c r="B2" s="562"/>
      <c r="C2" s="562"/>
      <c r="D2" s="562"/>
      <c r="E2" s="562"/>
      <c r="F2" s="562"/>
      <c r="G2" s="562"/>
      <c r="H2" s="562"/>
      <c r="I2" s="562"/>
      <c r="J2" s="562"/>
      <c r="K2" s="562"/>
      <c r="L2" s="562"/>
      <c r="M2" s="562"/>
      <c r="N2" s="562"/>
      <c r="O2" s="562"/>
      <c r="P2" s="562"/>
      <c r="Q2" s="562"/>
      <c r="R2" s="562"/>
      <c r="S2" s="562"/>
      <c r="T2" s="562"/>
      <c r="U2" s="562"/>
      <c r="V2" s="562"/>
      <c r="W2" s="562"/>
      <c r="X2" s="562"/>
      <c r="Y2" s="562"/>
      <c r="Z2" s="562"/>
      <c r="AA2" s="562"/>
      <c r="AB2" s="562"/>
      <c r="AC2" s="562"/>
      <c r="AD2" s="562"/>
      <c r="AE2" s="562"/>
      <c r="AF2" s="562"/>
      <c r="AG2" s="562"/>
      <c r="AH2" s="20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</row>
    <row r="3" spans="1:52" s="3" customFormat="1" ht="15.6" customHeight="1" x14ac:dyDescent="0.15">
      <c r="A3" s="49"/>
      <c r="B3" s="41"/>
      <c r="C3" s="42"/>
      <c r="D3" s="42"/>
      <c r="E3" s="42"/>
      <c r="F3" s="42"/>
      <c r="G3" s="42"/>
      <c r="H3" s="42"/>
      <c r="I3" s="42"/>
      <c r="J3" s="42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33"/>
      <c r="W3" s="33"/>
      <c r="X3" s="33"/>
      <c r="Y3" s="33"/>
      <c r="Z3" s="33"/>
      <c r="AA3" s="563" t="s">
        <v>107</v>
      </c>
      <c r="AB3" s="563"/>
      <c r="AC3" s="563"/>
      <c r="AD3" s="563"/>
      <c r="AE3" s="563"/>
      <c r="AF3" s="563"/>
      <c r="AG3" s="563"/>
      <c r="AH3" s="21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Y3" s="79"/>
      <c r="AZ3" s="79"/>
    </row>
    <row r="4" spans="1:52" s="3" customFormat="1" ht="15.6" customHeight="1" x14ac:dyDescent="0.15">
      <c r="A4" s="49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33"/>
      <c r="W4" s="33"/>
      <c r="X4" s="33"/>
      <c r="Y4" s="33"/>
      <c r="Z4" s="33"/>
      <c r="AA4" s="563"/>
      <c r="AB4" s="563"/>
      <c r="AC4" s="563"/>
      <c r="AD4" s="563"/>
      <c r="AE4" s="563"/>
      <c r="AF4" s="563"/>
      <c r="AG4" s="563"/>
      <c r="AH4" s="21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Y4" s="79"/>
      <c r="AZ4" s="79"/>
    </row>
    <row r="5" spans="1:52" s="3" customFormat="1" ht="15.6" customHeight="1" x14ac:dyDescent="0.15">
      <c r="A5" s="49" t="s">
        <v>66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21"/>
      <c r="W5" s="21"/>
      <c r="X5" s="21"/>
      <c r="Y5" s="21"/>
      <c r="Z5" s="21"/>
      <c r="AA5" s="891" t="s">
        <v>235</v>
      </c>
      <c r="AB5" s="564"/>
      <c r="AC5" s="564"/>
      <c r="AD5" s="564"/>
      <c r="AE5" s="564"/>
      <c r="AF5" s="564"/>
      <c r="AG5" s="564"/>
      <c r="AH5" s="21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Y5" s="79"/>
      <c r="AZ5" s="79"/>
    </row>
    <row r="6" spans="1:52" s="3" customFormat="1" ht="15.6" customHeight="1" x14ac:dyDescent="0.15">
      <c r="A6" s="49" t="s">
        <v>7</v>
      </c>
      <c r="B6" s="828" t="s">
        <v>108</v>
      </c>
      <c r="C6" s="828"/>
      <c r="D6" s="828"/>
      <c r="E6" s="35" t="s">
        <v>109</v>
      </c>
      <c r="F6" s="566">
        <v>44805</v>
      </c>
      <c r="G6" s="566"/>
      <c r="H6" s="566"/>
      <c r="I6" s="566"/>
      <c r="J6" s="566"/>
      <c r="K6" s="566"/>
      <c r="L6" s="566"/>
      <c r="M6" s="826" t="s">
        <v>111</v>
      </c>
      <c r="N6" s="826"/>
      <c r="O6" s="826"/>
      <c r="P6" s="16"/>
      <c r="Q6" s="16"/>
      <c r="R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Y6" s="79"/>
      <c r="AZ6" s="79"/>
    </row>
    <row r="7" spans="1:52" s="3" customFormat="1" ht="15.6" customHeight="1" x14ac:dyDescent="0.15">
      <c r="A7" s="49"/>
      <c r="B7" s="16"/>
      <c r="C7" s="16" t="s">
        <v>65</v>
      </c>
      <c r="D7" s="15"/>
      <c r="E7" s="16"/>
      <c r="F7" s="49"/>
      <c r="G7" s="49"/>
      <c r="H7" s="49"/>
      <c r="I7" s="824">
        <v>224095</v>
      </c>
      <c r="J7" s="824"/>
      <c r="K7" s="824"/>
      <c r="L7" s="824"/>
      <c r="M7" s="824"/>
      <c r="N7" s="49" t="s">
        <v>8</v>
      </c>
      <c r="O7" s="49"/>
      <c r="P7" s="293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Y7" s="79"/>
      <c r="AZ7" s="79"/>
    </row>
    <row r="8" spans="1:52" s="3" customFormat="1" ht="15.6" customHeight="1" x14ac:dyDescent="0.15">
      <c r="A8" s="49"/>
      <c r="B8" s="16"/>
      <c r="C8" s="16" t="s">
        <v>9</v>
      </c>
      <c r="D8" s="16"/>
      <c r="E8" s="16"/>
      <c r="F8" s="49"/>
      <c r="G8" s="49"/>
      <c r="H8" s="49"/>
      <c r="I8" s="825">
        <v>103328</v>
      </c>
      <c r="J8" s="824"/>
      <c r="K8" s="824"/>
      <c r="L8" s="824"/>
      <c r="M8" s="824"/>
      <c r="N8" s="49" t="s">
        <v>10</v>
      </c>
      <c r="O8" s="49"/>
      <c r="P8" s="16" t="s">
        <v>11</v>
      </c>
      <c r="Q8" s="16"/>
      <c r="R8" s="16"/>
      <c r="S8" s="16"/>
      <c r="T8" s="16"/>
      <c r="U8" s="16"/>
      <c r="V8" s="548">
        <f>I7/I8</f>
        <v>2.1687732270052646</v>
      </c>
      <c r="W8" s="548"/>
      <c r="X8" s="548"/>
      <c r="Y8" s="16" t="s">
        <v>12</v>
      </c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Y8" s="79"/>
      <c r="AZ8" s="79"/>
    </row>
    <row r="9" spans="1:52" s="3" customFormat="1" ht="15.6" customHeight="1" x14ac:dyDescent="0.15">
      <c r="A9" s="49"/>
      <c r="B9" s="16"/>
      <c r="C9" s="16"/>
      <c r="D9" s="16"/>
      <c r="E9" s="16"/>
      <c r="F9" s="16"/>
      <c r="G9" s="16"/>
      <c r="H9" s="16"/>
      <c r="I9" s="279"/>
      <c r="J9" s="278"/>
      <c r="K9" s="278"/>
      <c r="L9" s="278"/>
      <c r="M9" s="278"/>
      <c r="N9" s="16"/>
      <c r="O9" s="16"/>
      <c r="P9" s="16"/>
      <c r="Q9" s="16"/>
      <c r="R9" s="16"/>
      <c r="S9" s="16"/>
      <c r="T9" s="16"/>
      <c r="U9" s="16"/>
      <c r="V9" s="276"/>
      <c r="W9" s="276"/>
      <c r="X9" s="27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Y9" s="79"/>
      <c r="AZ9" s="79"/>
    </row>
    <row r="10" spans="1:52" s="3" customFormat="1" ht="15.6" customHeight="1" x14ac:dyDescent="0.15">
      <c r="A10" s="49" t="s">
        <v>5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Y10" s="79"/>
      <c r="AZ10" s="79"/>
    </row>
    <row r="11" spans="1:52" s="3" customFormat="1" ht="15.6" customHeight="1" x14ac:dyDescent="0.15">
      <c r="A11" s="49"/>
      <c r="B11" s="549" t="s">
        <v>67</v>
      </c>
      <c r="C11" s="550"/>
      <c r="D11" s="550"/>
      <c r="E11" s="550"/>
      <c r="F11" s="550"/>
      <c r="G11" s="550"/>
      <c r="H11" s="551"/>
      <c r="I11" s="555" t="s">
        <v>130</v>
      </c>
      <c r="J11" s="556"/>
      <c r="K11" s="556"/>
      <c r="L11" s="556"/>
      <c r="M11" s="557"/>
      <c r="N11" s="555" t="s">
        <v>131</v>
      </c>
      <c r="O11" s="556"/>
      <c r="P11" s="556"/>
      <c r="Q11" s="556"/>
      <c r="R11" s="557"/>
      <c r="S11" s="561" t="s">
        <v>13</v>
      </c>
      <c r="T11" s="556"/>
      <c r="U11" s="556"/>
      <c r="V11" s="556"/>
      <c r="W11" s="557"/>
      <c r="X11" s="29"/>
      <c r="Y11" s="581" t="s">
        <v>68</v>
      </c>
      <c r="Z11" s="581"/>
      <c r="AA11" s="581"/>
      <c r="AB11" s="30"/>
      <c r="AC11" s="561" t="s">
        <v>81</v>
      </c>
      <c r="AD11" s="556"/>
      <c r="AE11" s="556"/>
      <c r="AF11" s="556"/>
      <c r="AG11" s="557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Y11" s="79"/>
      <c r="AZ11" s="79"/>
    </row>
    <row r="12" spans="1:52" s="3" customFormat="1" ht="15.6" customHeight="1" x14ac:dyDescent="0.15">
      <c r="A12" s="49"/>
      <c r="B12" s="552"/>
      <c r="C12" s="553"/>
      <c r="D12" s="553"/>
      <c r="E12" s="553"/>
      <c r="F12" s="553"/>
      <c r="G12" s="553"/>
      <c r="H12" s="554"/>
      <c r="I12" s="558"/>
      <c r="J12" s="559"/>
      <c r="K12" s="559"/>
      <c r="L12" s="559"/>
      <c r="M12" s="560"/>
      <c r="N12" s="558"/>
      <c r="O12" s="559"/>
      <c r="P12" s="559"/>
      <c r="Q12" s="559"/>
      <c r="R12" s="560"/>
      <c r="S12" s="558"/>
      <c r="T12" s="559"/>
      <c r="U12" s="559"/>
      <c r="V12" s="559"/>
      <c r="W12" s="560"/>
      <c r="X12" s="31"/>
      <c r="Y12" s="581" t="s">
        <v>69</v>
      </c>
      <c r="Z12" s="581"/>
      <c r="AA12" s="581"/>
      <c r="AB12" s="32"/>
      <c r="AC12" s="558"/>
      <c r="AD12" s="559"/>
      <c r="AE12" s="559"/>
      <c r="AF12" s="559"/>
      <c r="AG12" s="560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Y12" s="79"/>
      <c r="AZ12" s="79"/>
    </row>
    <row r="13" spans="1:52" s="3" customFormat="1" ht="15.6" customHeight="1" x14ac:dyDescent="0.15">
      <c r="A13" s="49"/>
      <c r="B13" s="282" t="s">
        <v>126</v>
      </c>
      <c r="C13" s="283"/>
      <c r="D13" s="283"/>
      <c r="E13" s="283"/>
      <c r="F13" s="283"/>
      <c r="G13" s="283"/>
      <c r="H13" s="284"/>
      <c r="I13" s="570">
        <v>2329</v>
      </c>
      <c r="J13" s="571"/>
      <c r="K13" s="571"/>
      <c r="L13" s="571"/>
      <c r="M13" s="572"/>
      <c r="N13" s="570">
        <v>3076</v>
      </c>
      <c r="O13" s="571"/>
      <c r="P13" s="571"/>
      <c r="Q13" s="571"/>
      <c r="R13" s="572"/>
      <c r="S13" s="570">
        <v>28</v>
      </c>
      <c r="T13" s="571"/>
      <c r="U13" s="571"/>
      <c r="V13" s="571"/>
      <c r="W13" s="572"/>
      <c r="X13" s="582">
        <f t="shared" ref="X13:X16" si="0">I13/S13</f>
        <v>83.178571428571431</v>
      </c>
      <c r="Y13" s="583"/>
      <c r="Z13" s="583"/>
      <c r="AA13" s="583"/>
      <c r="AB13" s="34"/>
      <c r="AC13" s="584">
        <v>13.65933373002833</v>
      </c>
      <c r="AD13" s="585"/>
      <c r="AE13" s="585"/>
      <c r="AF13" s="585"/>
      <c r="AG13" s="586"/>
      <c r="AH13" s="568"/>
      <c r="AI13" s="569"/>
      <c r="AJ13" s="569"/>
      <c r="AK13" s="569"/>
      <c r="AL13" s="16"/>
      <c r="AM13" s="18"/>
      <c r="AN13" s="16"/>
      <c r="AO13" s="16"/>
      <c r="AP13" s="16"/>
      <c r="AQ13" s="16"/>
      <c r="AR13" s="16"/>
      <c r="AS13" s="16"/>
      <c r="AT13" s="16"/>
      <c r="AU13" s="16"/>
      <c r="AY13" s="79"/>
      <c r="AZ13" s="79"/>
    </row>
    <row r="14" spans="1:52" s="3" customFormat="1" ht="15.6" customHeight="1" x14ac:dyDescent="0.15">
      <c r="A14" s="49"/>
      <c r="B14" s="282" t="s">
        <v>129</v>
      </c>
      <c r="C14" s="283"/>
      <c r="D14" s="283"/>
      <c r="E14" s="283"/>
      <c r="F14" s="283"/>
      <c r="G14" s="283"/>
      <c r="H14" s="284"/>
      <c r="I14" s="570">
        <v>2409</v>
      </c>
      <c r="J14" s="571"/>
      <c r="K14" s="571"/>
      <c r="L14" s="571"/>
      <c r="M14" s="572"/>
      <c r="N14" s="570">
        <v>3167</v>
      </c>
      <c r="O14" s="571"/>
      <c r="P14" s="571"/>
      <c r="Q14" s="571"/>
      <c r="R14" s="572"/>
      <c r="S14" s="573">
        <v>28</v>
      </c>
      <c r="T14" s="574"/>
      <c r="U14" s="574"/>
      <c r="V14" s="574"/>
      <c r="W14" s="575"/>
      <c r="X14" s="576">
        <f>I14/S14</f>
        <v>86.035714285714292</v>
      </c>
      <c r="Y14" s="577"/>
      <c r="Z14" s="577"/>
      <c r="AA14" s="577"/>
      <c r="AB14" s="23"/>
      <c r="AC14" s="578">
        <v>14.09717121808996</v>
      </c>
      <c r="AD14" s="579"/>
      <c r="AE14" s="579"/>
      <c r="AF14" s="579"/>
      <c r="AG14" s="580"/>
      <c r="AH14" s="568"/>
      <c r="AI14" s="569"/>
      <c r="AJ14" s="569"/>
      <c r="AK14" s="569"/>
      <c r="AL14" s="16"/>
      <c r="AM14" s="18"/>
      <c r="AN14" s="16"/>
      <c r="AO14" s="16"/>
      <c r="AP14" s="16"/>
      <c r="AQ14" s="16"/>
      <c r="AR14" s="16"/>
      <c r="AS14" s="16"/>
      <c r="AT14" s="16"/>
      <c r="AU14" s="16"/>
      <c r="AY14" s="79"/>
      <c r="AZ14" s="79"/>
    </row>
    <row r="15" spans="1:52" s="3" customFormat="1" ht="15.6" customHeight="1" x14ac:dyDescent="0.15">
      <c r="A15" s="49"/>
      <c r="B15" s="589" t="s">
        <v>144</v>
      </c>
      <c r="C15" s="589"/>
      <c r="D15" s="589"/>
      <c r="E15" s="589"/>
      <c r="F15" s="589"/>
      <c r="G15" s="589"/>
      <c r="H15" s="589"/>
      <c r="I15" s="570">
        <v>2478</v>
      </c>
      <c r="J15" s="571"/>
      <c r="K15" s="571"/>
      <c r="L15" s="571"/>
      <c r="M15" s="572"/>
      <c r="N15" s="570">
        <v>3222</v>
      </c>
      <c r="O15" s="571"/>
      <c r="P15" s="571"/>
      <c r="Q15" s="571"/>
      <c r="R15" s="572"/>
      <c r="S15" s="570">
        <v>29</v>
      </c>
      <c r="T15" s="571"/>
      <c r="U15" s="571"/>
      <c r="V15" s="571"/>
      <c r="W15" s="572"/>
      <c r="X15" s="576">
        <f t="shared" si="0"/>
        <v>85.448275862068968</v>
      </c>
      <c r="Y15" s="577"/>
      <c r="Z15" s="577"/>
      <c r="AA15" s="577"/>
      <c r="AB15" s="23"/>
      <c r="AC15" s="578">
        <v>14.375008365344719</v>
      </c>
      <c r="AD15" s="579"/>
      <c r="AE15" s="579"/>
      <c r="AF15" s="579"/>
      <c r="AG15" s="580"/>
      <c r="AH15" s="587"/>
      <c r="AI15" s="588"/>
      <c r="AJ15" s="588"/>
      <c r="AK15" s="588"/>
      <c r="AL15" s="14"/>
      <c r="AM15" s="18"/>
      <c r="AN15" s="14"/>
      <c r="AO15" s="16"/>
      <c r="AP15" s="16"/>
      <c r="AQ15" s="16"/>
      <c r="AR15" s="16"/>
      <c r="AS15" s="16"/>
      <c r="AT15" s="16"/>
      <c r="AU15" s="16"/>
      <c r="AY15" s="79"/>
      <c r="AZ15" s="79"/>
    </row>
    <row r="16" spans="1:52" s="3" customFormat="1" ht="15.6" customHeight="1" x14ac:dyDescent="0.15">
      <c r="A16" s="49"/>
      <c r="B16" s="589" t="s">
        <v>148</v>
      </c>
      <c r="C16" s="589"/>
      <c r="D16" s="589"/>
      <c r="E16" s="589"/>
      <c r="F16" s="589"/>
      <c r="G16" s="589"/>
      <c r="H16" s="589"/>
      <c r="I16" s="570">
        <v>2523</v>
      </c>
      <c r="J16" s="571"/>
      <c r="K16" s="571"/>
      <c r="L16" s="571"/>
      <c r="M16" s="572"/>
      <c r="N16" s="570">
        <v>3258</v>
      </c>
      <c r="O16" s="571"/>
      <c r="P16" s="571"/>
      <c r="Q16" s="571"/>
      <c r="R16" s="572"/>
      <c r="S16" s="570">
        <v>30</v>
      </c>
      <c r="T16" s="571"/>
      <c r="U16" s="571"/>
      <c r="V16" s="571"/>
      <c r="W16" s="572"/>
      <c r="X16" s="576">
        <f t="shared" si="0"/>
        <v>84.1</v>
      </c>
      <c r="Y16" s="577"/>
      <c r="Z16" s="577"/>
      <c r="AA16" s="577"/>
      <c r="AB16" s="23"/>
      <c r="AC16" s="578">
        <v>14.560112977181111</v>
      </c>
      <c r="AD16" s="579"/>
      <c r="AE16" s="579"/>
      <c r="AF16" s="579"/>
      <c r="AG16" s="580"/>
      <c r="AH16" s="587"/>
      <c r="AI16" s="588"/>
      <c r="AJ16" s="588"/>
      <c r="AK16" s="588"/>
      <c r="AL16" s="14"/>
      <c r="AM16" s="18"/>
      <c r="AN16" s="14"/>
      <c r="AO16" s="14"/>
      <c r="AP16" s="14"/>
      <c r="AQ16" s="14"/>
      <c r="AR16" s="14"/>
      <c r="AS16" s="14"/>
      <c r="AT16" s="14"/>
      <c r="AU16" s="14"/>
      <c r="AY16" s="79"/>
      <c r="AZ16" s="79"/>
    </row>
    <row r="17" spans="1:52" s="3" customFormat="1" ht="15.6" customHeight="1" x14ac:dyDescent="0.15">
      <c r="A17" s="49"/>
      <c r="B17" s="604" t="s">
        <v>169</v>
      </c>
      <c r="C17" s="604"/>
      <c r="D17" s="604"/>
      <c r="E17" s="604"/>
      <c r="F17" s="604"/>
      <c r="G17" s="604"/>
      <c r="H17" s="604"/>
      <c r="I17" s="605">
        <v>2564</v>
      </c>
      <c r="J17" s="606"/>
      <c r="K17" s="606"/>
      <c r="L17" s="606"/>
      <c r="M17" s="607"/>
      <c r="N17" s="605">
        <v>3302</v>
      </c>
      <c r="O17" s="606"/>
      <c r="P17" s="606"/>
      <c r="Q17" s="606"/>
      <c r="R17" s="607"/>
      <c r="S17" s="570">
        <v>31</v>
      </c>
      <c r="T17" s="571"/>
      <c r="U17" s="571"/>
      <c r="V17" s="571"/>
      <c r="W17" s="572"/>
      <c r="X17" s="576">
        <f>I17/S17</f>
        <v>82.709677419354833</v>
      </c>
      <c r="Y17" s="577"/>
      <c r="Z17" s="577"/>
      <c r="AA17" s="577"/>
      <c r="AB17" s="23"/>
      <c r="AC17" s="578">
        <v>14.773652608878509</v>
      </c>
      <c r="AD17" s="579"/>
      <c r="AE17" s="579"/>
      <c r="AF17" s="579"/>
      <c r="AG17" s="580"/>
      <c r="AH17" s="587"/>
      <c r="AI17" s="588"/>
      <c r="AJ17" s="588"/>
      <c r="AK17" s="588"/>
      <c r="AL17" s="14"/>
      <c r="AM17" s="14"/>
      <c r="AN17" s="14"/>
      <c r="AO17" s="14"/>
      <c r="AP17" s="14"/>
      <c r="AQ17" s="14"/>
      <c r="AR17" s="14"/>
      <c r="AS17" s="14"/>
      <c r="AT17" s="14"/>
      <c r="AU17" s="39"/>
      <c r="AV17" s="38"/>
      <c r="AX17" s="596"/>
      <c r="AY17" s="596"/>
      <c r="AZ17" s="79"/>
    </row>
    <row r="18" spans="1:52" s="3" customFormat="1" ht="15.6" customHeight="1" x14ac:dyDescent="0.15">
      <c r="A18" s="49"/>
      <c r="B18" s="597" t="s">
        <v>194</v>
      </c>
      <c r="C18" s="597"/>
      <c r="D18" s="597"/>
      <c r="E18" s="597"/>
      <c r="F18" s="597"/>
      <c r="G18" s="597"/>
      <c r="H18" s="597"/>
      <c r="I18" s="598">
        <f>2560+3</f>
        <v>2563</v>
      </c>
      <c r="J18" s="599"/>
      <c r="K18" s="599"/>
      <c r="L18" s="599"/>
      <c r="M18" s="600"/>
      <c r="N18" s="598">
        <f>3271+3</f>
        <v>3274</v>
      </c>
      <c r="O18" s="599"/>
      <c r="P18" s="599"/>
      <c r="Q18" s="599"/>
      <c r="R18" s="600"/>
      <c r="S18" s="570">
        <v>31</v>
      </c>
      <c r="T18" s="571"/>
      <c r="U18" s="571"/>
      <c r="V18" s="571"/>
      <c r="W18" s="572"/>
      <c r="X18" s="576">
        <f>I18/S18</f>
        <v>82.677419354838705</v>
      </c>
      <c r="Y18" s="577"/>
      <c r="Z18" s="577"/>
      <c r="AA18" s="577"/>
      <c r="AB18" s="23"/>
      <c r="AC18" s="578">
        <v>14.609875276110579</v>
      </c>
      <c r="AD18" s="579"/>
      <c r="AE18" s="579"/>
      <c r="AF18" s="579"/>
      <c r="AG18" s="580"/>
      <c r="AH18" s="883"/>
      <c r="AI18" s="884"/>
      <c r="AJ18" s="884"/>
      <c r="AK18" s="884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38"/>
      <c r="AX18" s="274"/>
      <c r="AY18" s="274"/>
      <c r="AZ18" s="79"/>
    </row>
    <row r="19" spans="1:52" s="1" customFormat="1" ht="15.6" customHeight="1" x14ac:dyDescent="0.15">
      <c r="A19" s="49"/>
      <c r="B19" s="293"/>
      <c r="C19" s="16"/>
      <c r="D19" s="590" t="s">
        <v>79</v>
      </c>
      <c r="E19" s="590"/>
      <c r="F19" s="590"/>
      <c r="G19" s="590"/>
      <c r="H19" s="590"/>
      <c r="I19" s="591">
        <v>89</v>
      </c>
      <c r="J19" s="592"/>
      <c r="K19" s="592"/>
      <c r="L19" s="592"/>
      <c r="M19" s="593"/>
      <c r="N19" s="594">
        <v>175</v>
      </c>
      <c r="O19" s="594"/>
      <c r="P19" s="594"/>
      <c r="Q19" s="594"/>
      <c r="R19" s="594"/>
      <c r="S19" s="293"/>
      <c r="T19" s="18"/>
      <c r="U19" s="16"/>
      <c r="V19" s="16"/>
      <c r="W19" s="16"/>
      <c r="X19" s="16"/>
      <c r="Y19" s="16"/>
      <c r="Z19" s="16"/>
      <c r="AA19" s="16"/>
      <c r="AB19" s="275"/>
      <c r="AC19" s="275"/>
      <c r="AD19" s="275"/>
      <c r="AE19" s="275"/>
      <c r="AF19" s="16"/>
      <c r="AG19" s="16"/>
      <c r="AH19" s="16"/>
      <c r="AI19" s="71"/>
      <c r="AJ19" s="16"/>
      <c r="AK19" s="16"/>
      <c r="AL19" s="16"/>
      <c r="AM19" s="16"/>
      <c r="AN19" s="16"/>
      <c r="AO19" s="16"/>
      <c r="AY19" s="265"/>
      <c r="AZ19" s="265"/>
    </row>
    <row r="20" spans="1:52" s="1" customFormat="1" ht="15.6" customHeight="1" x14ac:dyDescent="0.15">
      <c r="A20" s="49"/>
      <c r="B20" s="293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545"/>
      <c r="AI20" s="545"/>
      <c r="AJ20" s="545"/>
      <c r="AK20" s="545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Y20" s="265"/>
      <c r="AZ20" s="265"/>
    </row>
    <row r="21" spans="1:52" s="14" customFormat="1" ht="15.6" customHeight="1" x14ac:dyDescent="0.15">
      <c r="A21" s="50" t="s">
        <v>124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24"/>
      <c r="X21" s="24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Y21" s="80"/>
      <c r="AZ21" s="80"/>
    </row>
    <row r="22" spans="1:52" s="14" customFormat="1" ht="15.6" customHeight="1" x14ac:dyDescent="0.15">
      <c r="A22" s="277" t="s">
        <v>171</v>
      </c>
      <c r="B22" s="25"/>
      <c r="C22" s="25"/>
      <c r="D22" s="290"/>
      <c r="E22" s="290"/>
      <c r="F22" s="290"/>
      <c r="G22" s="290"/>
      <c r="H22" s="22"/>
      <c r="I22" s="290"/>
      <c r="J22" s="290"/>
      <c r="K22" s="290"/>
      <c r="L22" s="1" t="s">
        <v>73</v>
      </c>
      <c r="M22" s="22"/>
      <c r="N22" s="290"/>
      <c r="O22" s="290"/>
      <c r="P22" s="290"/>
      <c r="Q22" s="290"/>
      <c r="R22" s="22"/>
      <c r="S22" s="297"/>
      <c r="T22" s="290"/>
      <c r="U22" s="290"/>
      <c r="V22" s="296"/>
      <c r="W22" s="296"/>
      <c r="X22" s="26"/>
      <c r="Y22" s="297"/>
      <c r="Z22" s="297"/>
      <c r="AA22" s="297"/>
      <c r="AB22" s="296"/>
      <c r="AC22" s="290"/>
      <c r="AD22" s="290"/>
      <c r="AE22" s="290"/>
      <c r="AF22" s="290"/>
      <c r="AG22" s="290"/>
      <c r="AH22" s="24"/>
      <c r="AI22" s="24"/>
      <c r="AJ22" s="24"/>
      <c r="AK22" s="24"/>
      <c r="AL22" s="24"/>
      <c r="AM22" s="24"/>
      <c r="AY22" s="80"/>
      <c r="AZ22" s="80"/>
    </row>
    <row r="23" spans="1:52" s="14" customFormat="1" ht="15.6" customHeight="1" x14ac:dyDescent="0.15">
      <c r="A23" s="52"/>
      <c r="B23" s="595" t="s">
        <v>14</v>
      </c>
      <c r="C23" s="595"/>
      <c r="D23" s="595" t="s">
        <v>15</v>
      </c>
      <c r="E23" s="595"/>
      <c r="F23" s="595"/>
      <c r="G23" s="595"/>
      <c r="H23" s="595"/>
      <c r="I23" s="595" t="s">
        <v>16</v>
      </c>
      <c r="J23" s="595"/>
      <c r="K23" s="595"/>
      <c r="L23" s="595"/>
      <c r="M23" s="595"/>
      <c r="N23" s="595" t="s">
        <v>17</v>
      </c>
      <c r="O23" s="595"/>
      <c r="P23" s="595"/>
      <c r="Q23" s="595"/>
      <c r="R23" s="595"/>
      <c r="S23" s="608" t="s">
        <v>18</v>
      </c>
      <c r="T23" s="609"/>
      <c r="U23" s="609"/>
      <c r="V23" s="609"/>
      <c r="W23" s="609"/>
      <c r="X23" s="610"/>
      <c r="Y23" s="608" t="s">
        <v>19</v>
      </c>
      <c r="Z23" s="609"/>
      <c r="AA23" s="609"/>
      <c r="AB23" s="609"/>
      <c r="AC23" s="609"/>
      <c r="AD23" s="610"/>
      <c r="AE23" s="608" t="s">
        <v>72</v>
      </c>
      <c r="AF23" s="609"/>
      <c r="AG23" s="610"/>
      <c r="AH23" s="13"/>
      <c r="AI23" s="13"/>
      <c r="AJ23" s="13"/>
      <c r="AK23" s="13"/>
      <c r="AL23" s="13"/>
      <c r="AM23" s="13"/>
      <c r="AY23" s="80"/>
      <c r="AZ23" s="80"/>
    </row>
    <row r="24" spans="1:52" s="14" customFormat="1" ht="15.6" customHeight="1" x14ac:dyDescent="0.15">
      <c r="A24" s="49"/>
      <c r="B24" s="611" t="s">
        <v>9</v>
      </c>
      <c r="C24" s="611"/>
      <c r="D24" s="612">
        <v>365</v>
      </c>
      <c r="E24" s="612"/>
      <c r="F24" s="612"/>
      <c r="G24" s="612"/>
      <c r="H24" s="612"/>
      <c r="I24" s="612">
        <f>SUM(L25:M28)</f>
        <v>29</v>
      </c>
      <c r="J24" s="612"/>
      <c r="K24" s="612"/>
      <c r="L24" s="612"/>
      <c r="M24" s="612"/>
      <c r="N24" s="612">
        <f>SUM(Q25:R29)</f>
        <v>20</v>
      </c>
      <c r="O24" s="612"/>
      <c r="P24" s="612"/>
      <c r="Q24" s="612"/>
      <c r="R24" s="612"/>
      <c r="S24" s="613">
        <v>327</v>
      </c>
      <c r="T24" s="614"/>
      <c r="U24" s="614"/>
      <c r="V24" s="614"/>
      <c r="W24" s="614"/>
      <c r="X24" s="615"/>
      <c r="Y24" s="613">
        <v>286</v>
      </c>
      <c r="Z24" s="614"/>
      <c r="AA24" s="614"/>
      <c r="AB24" s="614"/>
      <c r="AC24" s="614"/>
      <c r="AD24" s="615"/>
      <c r="AE24" s="613">
        <f>S24-Y24</f>
        <v>41</v>
      </c>
      <c r="AF24" s="614"/>
      <c r="AG24" s="615"/>
      <c r="AH24" s="16"/>
      <c r="AI24" s="13"/>
      <c r="AJ24" s="13"/>
      <c r="AK24" s="16"/>
      <c r="AL24" s="16"/>
      <c r="AM24" s="16"/>
      <c r="AY24" s="80"/>
      <c r="AZ24" s="80"/>
    </row>
    <row r="25" spans="1:52" s="14" customFormat="1" ht="15.6" customHeight="1" x14ac:dyDescent="0.15">
      <c r="A25" s="49"/>
      <c r="B25" s="632" t="s">
        <v>21</v>
      </c>
      <c r="C25" s="633"/>
      <c r="D25" s="624"/>
      <c r="E25" s="625"/>
      <c r="F25" s="625"/>
      <c r="G25" s="626"/>
      <c r="H25" s="627"/>
      <c r="I25" s="57" t="s">
        <v>22</v>
      </c>
      <c r="J25" s="58"/>
      <c r="K25" s="58"/>
      <c r="L25" s="622">
        <v>8</v>
      </c>
      <c r="M25" s="623"/>
      <c r="N25" s="57" t="s">
        <v>62</v>
      </c>
      <c r="O25" s="58"/>
      <c r="P25" s="58"/>
      <c r="Q25" s="622">
        <v>13</v>
      </c>
      <c r="R25" s="623"/>
      <c r="S25" s="272" t="s">
        <v>23</v>
      </c>
      <c r="T25" s="273"/>
      <c r="U25" s="273"/>
      <c r="V25" s="273"/>
      <c r="W25" s="622">
        <v>54</v>
      </c>
      <c r="X25" s="623"/>
      <c r="Y25" s="57" t="s">
        <v>97</v>
      </c>
      <c r="Z25" s="273"/>
      <c r="AA25" s="273"/>
      <c r="AB25" s="273"/>
      <c r="AC25" s="622">
        <v>0</v>
      </c>
      <c r="AD25" s="623"/>
      <c r="AE25" s="287"/>
      <c r="AF25" s="288"/>
      <c r="AG25" s="5"/>
      <c r="AH25" s="16"/>
      <c r="AI25" s="13"/>
      <c r="AJ25" s="13"/>
      <c r="AK25" s="16"/>
      <c r="AL25" s="16"/>
      <c r="AM25" s="16"/>
      <c r="AY25" s="80"/>
      <c r="AZ25" s="80"/>
    </row>
    <row r="26" spans="1:52" s="14" customFormat="1" ht="15.6" customHeight="1" x14ac:dyDescent="0.15">
      <c r="A26" s="49"/>
      <c r="B26" s="634"/>
      <c r="C26" s="635"/>
      <c r="D26" s="620"/>
      <c r="E26" s="621"/>
      <c r="F26" s="621"/>
      <c r="G26" s="621"/>
      <c r="H26" s="59"/>
      <c r="I26" s="60" t="s">
        <v>0</v>
      </c>
      <c r="J26" s="61"/>
      <c r="K26" s="61"/>
      <c r="L26" s="616">
        <v>2</v>
      </c>
      <c r="M26" s="617"/>
      <c r="N26" s="60" t="s">
        <v>3</v>
      </c>
      <c r="O26" s="61"/>
      <c r="P26" s="61"/>
      <c r="Q26" s="616">
        <v>0</v>
      </c>
      <c r="R26" s="617"/>
      <c r="S26" s="270" t="s">
        <v>90</v>
      </c>
      <c r="T26" s="271"/>
      <c r="U26" s="271"/>
      <c r="V26" s="271"/>
      <c r="W26" s="616">
        <v>1</v>
      </c>
      <c r="X26" s="617"/>
      <c r="Y26" s="60" t="s">
        <v>4</v>
      </c>
      <c r="Z26" s="61"/>
      <c r="AA26" s="61"/>
      <c r="AB26" s="61"/>
      <c r="AC26" s="616">
        <v>105</v>
      </c>
      <c r="AD26" s="617"/>
      <c r="AE26" s="285"/>
      <c r="AF26" s="286"/>
      <c r="AG26" s="6"/>
      <c r="AH26" s="16"/>
      <c r="AI26" s="13"/>
      <c r="AJ26" s="13"/>
      <c r="AK26" s="16"/>
      <c r="AL26" s="16"/>
      <c r="AM26" s="16"/>
      <c r="AY26" s="80"/>
      <c r="AZ26" s="80"/>
    </row>
    <row r="27" spans="1:52" s="14" customFormat="1" ht="15.6" customHeight="1" x14ac:dyDescent="0.15">
      <c r="A27" s="49"/>
      <c r="B27" s="634"/>
      <c r="C27" s="635"/>
      <c r="D27" s="620"/>
      <c r="E27" s="621"/>
      <c r="F27" s="621"/>
      <c r="G27" s="621"/>
      <c r="H27" s="59"/>
      <c r="I27" s="60" t="s">
        <v>61</v>
      </c>
      <c r="J27" s="61"/>
      <c r="K27" s="61"/>
      <c r="L27" s="616">
        <v>4</v>
      </c>
      <c r="M27" s="617"/>
      <c r="N27" s="60" t="s">
        <v>0</v>
      </c>
      <c r="O27" s="61"/>
      <c r="P27" s="61"/>
      <c r="Q27" s="616">
        <v>0</v>
      </c>
      <c r="R27" s="617"/>
      <c r="S27" s="270" t="s">
        <v>91</v>
      </c>
      <c r="T27" s="271"/>
      <c r="U27" s="271"/>
      <c r="V27" s="271"/>
      <c r="W27" s="616">
        <v>9</v>
      </c>
      <c r="X27" s="617"/>
      <c r="Y27" s="60" t="s">
        <v>2</v>
      </c>
      <c r="Z27" s="62"/>
      <c r="AA27" s="62"/>
      <c r="AB27" s="62"/>
      <c r="AC27" s="616">
        <v>17</v>
      </c>
      <c r="AD27" s="617"/>
      <c r="AE27" s="285"/>
      <c r="AF27" s="286"/>
      <c r="AG27" s="6"/>
      <c r="AH27" s="16"/>
      <c r="AI27" s="13"/>
      <c r="AJ27" s="13"/>
      <c r="AK27" s="16"/>
      <c r="AL27" s="16"/>
      <c r="AM27" s="16"/>
      <c r="AQ27" s="18"/>
      <c r="AY27" s="80"/>
      <c r="AZ27" s="80"/>
    </row>
    <row r="28" spans="1:52" s="14" customFormat="1" ht="15.6" customHeight="1" x14ac:dyDescent="0.15">
      <c r="A28" s="49"/>
      <c r="B28" s="634"/>
      <c r="C28" s="635"/>
      <c r="D28" s="620"/>
      <c r="E28" s="621"/>
      <c r="F28" s="621"/>
      <c r="G28" s="621"/>
      <c r="H28" s="59"/>
      <c r="I28" s="60" t="s">
        <v>60</v>
      </c>
      <c r="J28" s="61"/>
      <c r="K28" s="61"/>
      <c r="L28" s="616">
        <v>15</v>
      </c>
      <c r="M28" s="617"/>
      <c r="N28" s="60" t="s">
        <v>4</v>
      </c>
      <c r="O28" s="61"/>
      <c r="P28" s="61"/>
      <c r="Q28" s="616">
        <v>0</v>
      </c>
      <c r="R28" s="617"/>
      <c r="S28" s="270" t="s">
        <v>92</v>
      </c>
      <c r="T28" s="271"/>
      <c r="U28" s="271"/>
      <c r="V28" s="271"/>
      <c r="W28" s="616">
        <v>54</v>
      </c>
      <c r="X28" s="617"/>
      <c r="Y28" s="60" t="s">
        <v>98</v>
      </c>
      <c r="Z28" s="61"/>
      <c r="AA28" s="61"/>
      <c r="AB28" s="61"/>
      <c r="AC28" s="616">
        <v>48</v>
      </c>
      <c r="AD28" s="617"/>
      <c r="AE28" s="285"/>
      <c r="AF28" s="286"/>
      <c r="AG28" s="6"/>
      <c r="AH28" s="16"/>
      <c r="AI28" s="13"/>
      <c r="AJ28" s="13"/>
      <c r="AK28" s="16"/>
      <c r="AL28" s="16"/>
      <c r="AM28" s="16"/>
      <c r="AY28" s="80"/>
      <c r="AZ28" s="80"/>
    </row>
    <row r="29" spans="1:52" s="14" customFormat="1" ht="15.6" customHeight="1" x14ac:dyDescent="0.15">
      <c r="A29" s="49"/>
      <c r="B29" s="634"/>
      <c r="C29" s="635"/>
      <c r="D29" s="620"/>
      <c r="E29" s="621"/>
      <c r="F29" s="621"/>
      <c r="G29" s="621"/>
      <c r="H29" s="59"/>
      <c r="I29" s="60"/>
      <c r="J29" s="61"/>
      <c r="K29" s="61"/>
      <c r="L29" s="61"/>
      <c r="M29" s="63"/>
      <c r="N29" s="60" t="s">
        <v>60</v>
      </c>
      <c r="O29" s="61"/>
      <c r="P29" s="61"/>
      <c r="Q29" s="616">
        <v>7</v>
      </c>
      <c r="R29" s="617"/>
      <c r="S29" s="270" t="s">
        <v>94</v>
      </c>
      <c r="T29" s="271"/>
      <c r="U29" s="271"/>
      <c r="V29" s="271"/>
      <c r="W29" s="616">
        <v>16</v>
      </c>
      <c r="X29" s="617"/>
      <c r="Y29" s="60" t="s">
        <v>99</v>
      </c>
      <c r="Z29" s="61"/>
      <c r="AA29" s="61"/>
      <c r="AB29" s="61"/>
      <c r="AC29" s="618">
        <v>3</v>
      </c>
      <c r="AD29" s="619"/>
      <c r="AE29" s="285"/>
      <c r="AF29" s="286"/>
      <c r="AG29" s="6"/>
      <c r="AH29" s="16"/>
      <c r="AI29" s="13"/>
      <c r="AJ29" s="13"/>
      <c r="AK29" s="16"/>
      <c r="AL29" s="16"/>
      <c r="AM29" s="16"/>
      <c r="AY29" s="80"/>
      <c r="AZ29" s="80"/>
    </row>
    <row r="30" spans="1:52" s="14" customFormat="1" ht="15.6" customHeight="1" x14ac:dyDescent="0.15">
      <c r="A30" s="49"/>
      <c r="B30" s="634"/>
      <c r="C30" s="635"/>
      <c r="D30" s="270"/>
      <c r="E30" s="271"/>
      <c r="F30" s="271"/>
      <c r="G30" s="271"/>
      <c r="H30" s="59"/>
      <c r="I30" s="60"/>
      <c r="J30" s="61"/>
      <c r="K30" s="61"/>
      <c r="L30" s="61"/>
      <c r="M30" s="63"/>
      <c r="N30" s="60"/>
      <c r="O30" s="61"/>
      <c r="P30" s="61"/>
      <c r="Q30" s="266"/>
      <c r="R30" s="267"/>
      <c r="S30" s="270" t="s">
        <v>93</v>
      </c>
      <c r="T30" s="271"/>
      <c r="U30" s="271"/>
      <c r="V30" s="271"/>
      <c r="W30" s="616">
        <v>0</v>
      </c>
      <c r="X30" s="617"/>
      <c r="Y30" s="60" t="s">
        <v>100</v>
      </c>
      <c r="Z30" s="61"/>
      <c r="AA30" s="61"/>
      <c r="AB30" s="61"/>
      <c r="AC30" s="618">
        <v>12</v>
      </c>
      <c r="AD30" s="619"/>
      <c r="AE30" s="285"/>
      <c r="AF30" s="286"/>
      <c r="AG30" s="6"/>
      <c r="AH30" s="16"/>
      <c r="AI30" s="13"/>
      <c r="AJ30" s="13"/>
      <c r="AK30" s="16"/>
      <c r="AL30" s="16"/>
      <c r="AM30" s="16"/>
      <c r="AY30" s="80"/>
      <c r="AZ30" s="80"/>
    </row>
    <row r="31" spans="1:52" s="14" customFormat="1" ht="15.6" customHeight="1" x14ac:dyDescent="0.15">
      <c r="A31" s="49"/>
      <c r="B31" s="634"/>
      <c r="C31" s="635"/>
      <c r="D31" s="270"/>
      <c r="E31" s="271"/>
      <c r="F31" s="271"/>
      <c r="G31" s="271"/>
      <c r="H31" s="59"/>
      <c r="I31" s="60"/>
      <c r="J31" s="61"/>
      <c r="K31" s="61"/>
      <c r="L31" s="61"/>
      <c r="M31" s="63"/>
      <c r="N31" s="60"/>
      <c r="O31" s="61"/>
      <c r="P31" s="61"/>
      <c r="Q31" s="266"/>
      <c r="R31" s="267"/>
      <c r="S31" s="270" t="s">
        <v>95</v>
      </c>
      <c r="T31" s="271"/>
      <c r="U31" s="271"/>
      <c r="V31" s="271"/>
      <c r="W31" s="616">
        <v>29</v>
      </c>
      <c r="X31" s="617"/>
      <c r="Y31" s="60" t="s">
        <v>101</v>
      </c>
      <c r="Z31" s="61"/>
      <c r="AA31" s="61"/>
      <c r="AB31" s="61"/>
      <c r="AC31" s="618">
        <v>4</v>
      </c>
      <c r="AD31" s="619"/>
      <c r="AE31" s="285"/>
      <c r="AF31" s="286"/>
      <c r="AG31" s="6"/>
      <c r="AH31" s="16"/>
      <c r="AI31" s="16"/>
      <c r="AJ31" s="16"/>
      <c r="AK31" s="16"/>
      <c r="AL31" s="16"/>
      <c r="AM31" s="16"/>
      <c r="AY31" s="80"/>
      <c r="AZ31" s="80"/>
    </row>
    <row r="32" spans="1:52" s="14" customFormat="1" ht="15.6" customHeight="1" x14ac:dyDescent="0.15">
      <c r="A32" s="49"/>
      <c r="B32" s="634"/>
      <c r="C32" s="635"/>
      <c r="D32" s="270"/>
      <c r="E32" s="271"/>
      <c r="F32" s="271"/>
      <c r="G32" s="271"/>
      <c r="H32" s="59"/>
      <c r="I32" s="60"/>
      <c r="J32" s="61"/>
      <c r="K32" s="61"/>
      <c r="L32" s="61"/>
      <c r="M32" s="63"/>
      <c r="N32" s="60"/>
      <c r="O32" s="61"/>
      <c r="P32" s="61"/>
      <c r="Q32" s="266"/>
      <c r="R32" s="267"/>
      <c r="S32" s="270" t="s">
        <v>96</v>
      </c>
      <c r="T32" s="271"/>
      <c r="U32" s="271"/>
      <c r="V32" s="271"/>
      <c r="W32" s="616">
        <v>1</v>
      </c>
      <c r="X32" s="617"/>
      <c r="Y32" s="60" t="s">
        <v>103</v>
      </c>
      <c r="Z32" s="61"/>
      <c r="AA32" s="61"/>
      <c r="AB32" s="61"/>
      <c r="AC32" s="618">
        <v>22</v>
      </c>
      <c r="AD32" s="619"/>
      <c r="AE32" s="285"/>
      <c r="AF32" s="286"/>
      <c r="AG32" s="6"/>
      <c r="AH32" s="16"/>
      <c r="AI32" s="16"/>
      <c r="AJ32" s="16"/>
      <c r="AK32" s="16"/>
      <c r="AL32" s="16"/>
      <c r="AM32" s="16"/>
      <c r="AY32" s="80"/>
      <c r="AZ32" s="80"/>
    </row>
    <row r="33" spans="1:72" s="14" customFormat="1" ht="15.6" customHeight="1" x14ac:dyDescent="0.15">
      <c r="A33" s="49"/>
      <c r="B33" s="634"/>
      <c r="C33" s="635"/>
      <c r="D33" s="270"/>
      <c r="E33" s="271"/>
      <c r="F33" s="271"/>
      <c r="G33" s="271"/>
      <c r="H33" s="59"/>
      <c r="I33" s="60"/>
      <c r="J33" s="61"/>
      <c r="K33" s="61"/>
      <c r="L33" s="61"/>
      <c r="M33" s="63"/>
      <c r="N33" s="60"/>
      <c r="O33" s="61"/>
      <c r="P33" s="61"/>
      <c r="Q33" s="266"/>
      <c r="R33" s="267"/>
      <c r="S33" s="270" t="s">
        <v>80</v>
      </c>
      <c r="T33" s="271"/>
      <c r="U33" s="271"/>
      <c r="V33" s="271"/>
      <c r="W33" s="616">
        <v>112</v>
      </c>
      <c r="X33" s="617"/>
      <c r="Y33" s="60" t="s">
        <v>104</v>
      </c>
      <c r="Z33" s="61"/>
      <c r="AA33" s="61"/>
      <c r="AB33" s="61"/>
      <c r="AC33" s="618">
        <v>1</v>
      </c>
      <c r="AD33" s="619"/>
      <c r="AE33" s="285"/>
      <c r="AF33" s="286"/>
      <c r="AG33" s="6"/>
      <c r="AH33" s="16"/>
      <c r="AI33" s="16"/>
      <c r="AJ33" s="16"/>
      <c r="AK33" s="16"/>
      <c r="AL33" s="16"/>
      <c r="AM33" s="16"/>
      <c r="AY33" s="80"/>
      <c r="AZ33" s="80"/>
    </row>
    <row r="34" spans="1:72" s="3" customFormat="1" ht="15.6" customHeight="1" x14ac:dyDescent="0.15">
      <c r="A34" s="49"/>
      <c r="B34" s="634"/>
      <c r="C34" s="635"/>
      <c r="D34" s="270"/>
      <c r="E34" s="271"/>
      <c r="F34" s="271"/>
      <c r="G34" s="271"/>
      <c r="H34" s="59"/>
      <c r="I34" s="60"/>
      <c r="J34" s="61"/>
      <c r="K34" s="61"/>
      <c r="L34" s="61"/>
      <c r="M34" s="63"/>
      <c r="N34" s="60"/>
      <c r="O34" s="61"/>
      <c r="P34" s="61"/>
      <c r="Q34" s="266"/>
      <c r="R34" s="267"/>
      <c r="S34" s="270" t="s">
        <v>102</v>
      </c>
      <c r="T34" s="271"/>
      <c r="U34" s="271"/>
      <c r="V34" s="271"/>
      <c r="W34" s="616">
        <v>3</v>
      </c>
      <c r="X34" s="617"/>
      <c r="Y34" s="60" t="s">
        <v>105</v>
      </c>
      <c r="Z34" s="61"/>
      <c r="AA34" s="61"/>
      <c r="AB34" s="61"/>
      <c r="AC34" s="618">
        <v>45</v>
      </c>
      <c r="AD34" s="619"/>
      <c r="AE34" s="285"/>
      <c r="AF34" s="286"/>
      <c r="AG34" s="6"/>
      <c r="AH34" s="16"/>
      <c r="AI34" s="16"/>
      <c r="AJ34" s="16"/>
      <c r="AK34" s="16"/>
      <c r="AL34" s="16"/>
      <c r="AM34" s="16"/>
      <c r="AN34" s="14"/>
      <c r="AO34" s="14"/>
      <c r="AY34" s="79"/>
      <c r="AZ34" s="79"/>
    </row>
    <row r="35" spans="1:72" s="2" customFormat="1" ht="15.6" customHeight="1" x14ac:dyDescent="0.15">
      <c r="A35" s="49"/>
      <c r="B35" s="636"/>
      <c r="C35" s="637"/>
      <c r="D35" s="628"/>
      <c r="E35" s="629"/>
      <c r="F35" s="629"/>
      <c r="G35" s="629"/>
      <c r="H35" s="64"/>
      <c r="I35" s="65"/>
      <c r="J35" s="66"/>
      <c r="K35" s="66"/>
      <c r="L35" s="66"/>
      <c r="M35" s="67"/>
      <c r="N35" s="65"/>
      <c r="O35" s="66"/>
      <c r="P35" s="66"/>
      <c r="Q35" s="66"/>
      <c r="R35" s="67"/>
      <c r="S35" s="268" t="s">
        <v>24</v>
      </c>
      <c r="T35" s="269"/>
      <c r="U35" s="269"/>
      <c r="V35" s="269"/>
      <c r="W35" s="630">
        <v>48</v>
      </c>
      <c r="X35" s="631"/>
      <c r="Y35" s="65" t="s">
        <v>24</v>
      </c>
      <c r="Z35" s="68"/>
      <c r="AA35" s="66"/>
      <c r="AB35" s="66"/>
      <c r="AC35" s="630">
        <v>29</v>
      </c>
      <c r="AD35" s="631"/>
      <c r="AE35" s="289"/>
      <c r="AF35" s="290"/>
      <c r="AG35" s="8"/>
      <c r="AH35" s="16"/>
      <c r="AI35" s="16"/>
      <c r="AJ35" s="16"/>
      <c r="AK35" s="16"/>
      <c r="AL35" s="16"/>
      <c r="AM35" s="16"/>
      <c r="AN35" s="537"/>
      <c r="AO35" s="537"/>
      <c r="AY35" s="81"/>
      <c r="AZ35" s="81"/>
    </row>
    <row r="36" spans="1:72" s="14" customFormat="1" ht="15.6" customHeight="1" x14ac:dyDescent="0.15">
      <c r="A36" s="277" t="s">
        <v>195</v>
      </c>
      <c r="B36" s="227"/>
      <c r="C36" s="25"/>
      <c r="D36" s="290"/>
      <c r="E36" s="290"/>
      <c r="F36" s="290"/>
      <c r="G36" s="290"/>
      <c r="H36" s="48"/>
      <c r="I36" s="290"/>
      <c r="J36" s="290"/>
      <c r="K36" s="290"/>
      <c r="L36" s="290"/>
      <c r="M36" s="48"/>
      <c r="N36" s="290"/>
      <c r="O36" s="290"/>
      <c r="P36" s="290"/>
      <c r="Q36" s="290"/>
      <c r="R36" s="22"/>
      <c r="S36" s="297"/>
      <c r="T36" s="290"/>
      <c r="U36" s="290"/>
      <c r="V36" s="290"/>
      <c r="W36" s="296"/>
      <c r="X36" s="296"/>
      <c r="Y36" s="26"/>
      <c r="Z36" s="26"/>
      <c r="AA36" s="297"/>
      <c r="AB36" s="297"/>
      <c r="AC36" s="297"/>
      <c r="AD36" s="296"/>
      <c r="AE36" s="290"/>
      <c r="AF36" s="290"/>
      <c r="AG36" s="290"/>
      <c r="AH36" s="16"/>
      <c r="AI36" s="16"/>
      <c r="AJ36" s="16"/>
      <c r="AK36" s="16"/>
      <c r="AL36" s="18"/>
      <c r="AM36" s="16"/>
      <c r="AN36" s="17"/>
      <c r="AO36" s="10"/>
      <c r="AP36" s="10"/>
      <c r="AQ36" s="74"/>
      <c r="AR36" s="9"/>
      <c r="AS36" s="9"/>
      <c r="AT36" s="9"/>
      <c r="AU36" s="10"/>
      <c r="AV36" s="9"/>
      <c r="AW36" s="9"/>
      <c r="AX36" s="9"/>
      <c r="AY36" s="82"/>
      <c r="AZ36" s="82"/>
      <c r="BA36" s="9"/>
      <c r="BB36" s="9"/>
      <c r="BC36" s="9"/>
      <c r="BD36" s="9"/>
      <c r="BE36" s="10"/>
      <c r="BF36" s="9"/>
      <c r="BG36" s="9"/>
      <c r="BH36" s="9"/>
      <c r="BI36" s="11"/>
      <c r="BJ36" s="11"/>
      <c r="BK36" s="12"/>
      <c r="BL36" s="9"/>
      <c r="BM36" s="9"/>
      <c r="BN36" s="9"/>
      <c r="BO36" s="11"/>
      <c r="BP36" s="9"/>
      <c r="BQ36" s="9"/>
      <c r="BR36" s="9"/>
      <c r="BS36" s="9"/>
      <c r="BT36" s="286"/>
    </row>
    <row r="37" spans="1:72" s="14" customFormat="1" ht="15.6" customHeight="1" x14ac:dyDescent="0.15">
      <c r="A37" s="52"/>
      <c r="B37" s="595" t="s">
        <v>14</v>
      </c>
      <c r="C37" s="595"/>
      <c r="D37" s="595" t="s">
        <v>15</v>
      </c>
      <c r="E37" s="595"/>
      <c r="F37" s="595"/>
      <c r="G37" s="595"/>
      <c r="H37" s="595"/>
      <c r="I37" s="595" t="s">
        <v>16</v>
      </c>
      <c r="J37" s="595"/>
      <c r="K37" s="595"/>
      <c r="L37" s="595"/>
      <c r="M37" s="595"/>
      <c r="N37" s="595" t="s">
        <v>17</v>
      </c>
      <c r="O37" s="595"/>
      <c r="P37" s="595"/>
      <c r="Q37" s="595"/>
      <c r="R37" s="595"/>
      <c r="S37" s="608" t="s">
        <v>18</v>
      </c>
      <c r="T37" s="609"/>
      <c r="U37" s="609"/>
      <c r="V37" s="609"/>
      <c r="W37" s="609"/>
      <c r="X37" s="610"/>
      <c r="Y37" s="608" t="s">
        <v>19</v>
      </c>
      <c r="Z37" s="609"/>
      <c r="AA37" s="609"/>
      <c r="AB37" s="609"/>
      <c r="AC37" s="609"/>
      <c r="AD37" s="610"/>
      <c r="AE37" s="608" t="s">
        <v>72</v>
      </c>
      <c r="AF37" s="609"/>
      <c r="AG37" s="610"/>
      <c r="AH37" s="16"/>
      <c r="AI37" s="16"/>
      <c r="AJ37" s="16"/>
      <c r="AK37" s="16"/>
      <c r="AL37" s="16"/>
      <c r="AM37" s="16"/>
      <c r="AY37" s="80"/>
      <c r="AZ37" s="80"/>
    </row>
    <row r="38" spans="1:72" s="3" customFormat="1" ht="15.6" customHeight="1" x14ac:dyDescent="0.15">
      <c r="A38" s="49"/>
      <c r="B38" s="611" t="s">
        <v>9</v>
      </c>
      <c r="C38" s="611"/>
      <c r="D38" s="612">
        <f>25+35+25+24+27</f>
        <v>136</v>
      </c>
      <c r="E38" s="612"/>
      <c r="F38" s="612"/>
      <c r="G38" s="612"/>
      <c r="H38" s="612"/>
      <c r="I38" s="612">
        <f>3+4+5+0+0+0</f>
        <v>12</v>
      </c>
      <c r="J38" s="612"/>
      <c r="K38" s="612"/>
      <c r="L38" s="612"/>
      <c r="M38" s="612"/>
      <c r="N38" s="612">
        <f>1+0+4+1+3</f>
        <v>9</v>
      </c>
      <c r="O38" s="612"/>
      <c r="P38" s="612"/>
      <c r="Q38" s="612"/>
      <c r="R38" s="612"/>
      <c r="S38" s="638">
        <f>22+28+20+24+23</f>
        <v>117</v>
      </c>
      <c r="T38" s="639"/>
      <c r="U38" s="639"/>
      <c r="V38" s="639"/>
      <c r="W38" s="639"/>
      <c r="X38" s="640"/>
      <c r="Y38" s="638">
        <f>22+22+27+26+21</f>
        <v>118</v>
      </c>
      <c r="Z38" s="639"/>
      <c r="AA38" s="639"/>
      <c r="AB38" s="639"/>
      <c r="AC38" s="639"/>
      <c r="AD38" s="640"/>
      <c r="AE38" s="613">
        <f>S38-Y38</f>
        <v>-1</v>
      </c>
      <c r="AF38" s="614"/>
      <c r="AG38" s="615"/>
      <c r="AH38" s="537"/>
      <c r="AI38" s="537"/>
      <c r="AJ38" s="888"/>
      <c r="AK38" s="888"/>
      <c r="AL38" s="888"/>
      <c r="AM38" s="888"/>
      <c r="AN38" s="18"/>
      <c r="AO38" s="14"/>
      <c r="AY38" s="79"/>
      <c r="AZ38" s="79"/>
    </row>
    <row r="39" spans="1:72" s="3" customFormat="1" ht="15.6" customHeight="1" x14ac:dyDescent="0.15">
      <c r="A39" s="49"/>
      <c r="B39" s="632" t="s">
        <v>21</v>
      </c>
      <c r="C39" s="633"/>
      <c r="D39" s="624"/>
      <c r="E39" s="625"/>
      <c r="F39" s="625"/>
      <c r="G39" s="626"/>
      <c r="H39" s="627"/>
      <c r="I39" s="57" t="s">
        <v>22</v>
      </c>
      <c r="J39" s="58"/>
      <c r="K39" s="58"/>
      <c r="L39" s="622">
        <f>1+1</f>
        <v>2</v>
      </c>
      <c r="M39" s="623"/>
      <c r="N39" s="57" t="s">
        <v>62</v>
      </c>
      <c r="O39" s="58"/>
      <c r="P39" s="58"/>
      <c r="Q39" s="622">
        <f>1+2+0+0+3</f>
        <v>6</v>
      </c>
      <c r="R39" s="623"/>
      <c r="S39" s="272" t="s">
        <v>23</v>
      </c>
      <c r="T39" s="273"/>
      <c r="U39" s="273"/>
      <c r="V39" s="273"/>
      <c r="W39" s="622">
        <f>2+5+5+2+0</f>
        <v>14</v>
      </c>
      <c r="X39" s="623"/>
      <c r="Y39" s="57" t="s">
        <v>97</v>
      </c>
      <c r="Z39" s="273"/>
      <c r="AA39" s="273"/>
      <c r="AB39" s="273"/>
      <c r="AC39" s="622">
        <f>0+0+0+0+0</f>
        <v>0</v>
      </c>
      <c r="AD39" s="623"/>
      <c r="AE39" s="287"/>
      <c r="AF39" s="288"/>
      <c r="AG39" s="5"/>
      <c r="AH39" s="16"/>
      <c r="AI39" s="16"/>
      <c r="AJ39" s="643"/>
      <c r="AK39" s="643"/>
      <c r="AL39" s="643"/>
      <c r="AM39" s="643"/>
      <c r="AN39" s="14"/>
      <c r="AO39" s="14"/>
      <c r="AY39" s="79"/>
      <c r="AZ39" s="79"/>
    </row>
    <row r="40" spans="1:72" s="3" customFormat="1" ht="15.6" customHeight="1" x14ac:dyDescent="0.15">
      <c r="A40" s="49"/>
      <c r="B40" s="634"/>
      <c r="C40" s="635"/>
      <c r="D40" s="620"/>
      <c r="E40" s="621"/>
      <c r="F40" s="621"/>
      <c r="G40" s="621"/>
      <c r="H40" s="59"/>
      <c r="I40" s="60" t="s">
        <v>0</v>
      </c>
      <c r="J40" s="61"/>
      <c r="K40" s="61"/>
      <c r="L40" s="616">
        <f>1+0</f>
        <v>1</v>
      </c>
      <c r="M40" s="617"/>
      <c r="N40" s="60" t="s">
        <v>3</v>
      </c>
      <c r="O40" s="61"/>
      <c r="P40" s="61"/>
      <c r="Q40" s="616">
        <f>0+0+0+0</f>
        <v>0</v>
      </c>
      <c r="R40" s="617"/>
      <c r="S40" s="270" t="s">
        <v>90</v>
      </c>
      <c r="T40" s="271"/>
      <c r="U40" s="271"/>
      <c r="V40" s="271"/>
      <c r="W40" s="616">
        <f>0+0+0+0+0</f>
        <v>0</v>
      </c>
      <c r="X40" s="617"/>
      <c r="Y40" s="60" t="s">
        <v>4</v>
      </c>
      <c r="Z40" s="61"/>
      <c r="AA40" s="61"/>
      <c r="AB40" s="61"/>
      <c r="AC40" s="616">
        <f>12+7+12+10+9</f>
        <v>50</v>
      </c>
      <c r="AD40" s="617"/>
      <c r="AE40" s="285"/>
      <c r="AF40" s="286"/>
      <c r="AG40" s="6"/>
      <c r="AH40" s="16"/>
      <c r="AI40" s="16"/>
      <c r="AJ40" s="16"/>
      <c r="AK40" s="16"/>
      <c r="AL40" s="16"/>
      <c r="AM40" s="16"/>
      <c r="AN40" s="14"/>
      <c r="AO40" s="14"/>
      <c r="AY40" s="79"/>
      <c r="AZ40" s="79"/>
    </row>
    <row r="41" spans="1:72" s="3" customFormat="1" ht="15.6" customHeight="1" x14ac:dyDescent="0.15">
      <c r="A41" s="49"/>
      <c r="B41" s="634"/>
      <c r="C41" s="635"/>
      <c r="D41" s="620"/>
      <c r="E41" s="621"/>
      <c r="F41" s="621"/>
      <c r="G41" s="621"/>
      <c r="H41" s="59"/>
      <c r="I41" s="60" t="s">
        <v>61</v>
      </c>
      <c r="J41" s="61"/>
      <c r="K41" s="61"/>
      <c r="L41" s="616">
        <f>0+0</f>
        <v>0</v>
      </c>
      <c r="M41" s="617"/>
      <c r="N41" s="60" t="s">
        <v>0</v>
      </c>
      <c r="O41" s="61"/>
      <c r="P41" s="61"/>
      <c r="Q41" s="616">
        <f>0+0+0+0</f>
        <v>0</v>
      </c>
      <c r="R41" s="617"/>
      <c r="S41" s="270" t="s">
        <v>91</v>
      </c>
      <c r="T41" s="271"/>
      <c r="U41" s="271"/>
      <c r="V41" s="271"/>
      <c r="W41" s="616">
        <f>1+1+0+1+2</f>
        <v>5</v>
      </c>
      <c r="X41" s="617"/>
      <c r="Y41" s="60" t="s">
        <v>2</v>
      </c>
      <c r="Z41" s="62"/>
      <c r="AA41" s="62"/>
      <c r="AB41" s="62"/>
      <c r="AC41" s="616">
        <f>1+2+1+0+0</f>
        <v>4</v>
      </c>
      <c r="AD41" s="617"/>
      <c r="AE41" s="285"/>
      <c r="AF41" s="286"/>
      <c r="AG41" s="6"/>
      <c r="AH41" s="16"/>
      <c r="AI41" s="16"/>
      <c r="AJ41" s="643"/>
      <c r="AK41" s="643"/>
      <c r="AL41" s="643"/>
      <c r="AM41" s="643"/>
      <c r="AN41" s="14"/>
      <c r="AO41" s="14"/>
      <c r="AY41" s="79"/>
      <c r="AZ41" s="79"/>
    </row>
    <row r="42" spans="1:72" s="3" customFormat="1" ht="15.6" customHeight="1" x14ac:dyDescent="0.15">
      <c r="A42" s="49"/>
      <c r="B42" s="634"/>
      <c r="C42" s="635"/>
      <c r="D42" s="620"/>
      <c r="E42" s="621"/>
      <c r="F42" s="621"/>
      <c r="G42" s="621"/>
      <c r="H42" s="59"/>
      <c r="I42" s="60" t="s">
        <v>60</v>
      </c>
      <c r="J42" s="61"/>
      <c r="K42" s="61"/>
      <c r="L42" s="616">
        <f>1+3+5</f>
        <v>9</v>
      </c>
      <c r="M42" s="617"/>
      <c r="N42" s="60" t="s">
        <v>4</v>
      </c>
      <c r="O42" s="61"/>
      <c r="P42" s="61"/>
      <c r="Q42" s="616">
        <f>0+0+0+0</f>
        <v>0</v>
      </c>
      <c r="R42" s="617"/>
      <c r="S42" s="270" t="s">
        <v>92</v>
      </c>
      <c r="T42" s="271"/>
      <c r="U42" s="271"/>
      <c r="V42" s="271"/>
      <c r="W42" s="616">
        <f>6+2+1+3+1</f>
        <v>13</v>
      </c>
      <c r="X42" s="617"/>
      <c r="Y42" s="60" t="s">
        <v>98</v>
      </c>
      <c r="Z42" s="61"/>
      <c r="AA42" s="61"/>
      <c r="AB42" s="61"/>
      <c r="AC42" s="616">
        <f>1+3+4+2+3</f>
        <v>13</v>
      </c>
      <c r="AD42" s="617"/>
      <c r="AE42" s="285"/>
      <c r="AF42" s="286"/>
      <c r="AG42" s="6"/>
      <c r="AH42" s="16"/>
      <c r="AI42" s="541"/>
      <c r="AJ42" s="16"/>
      <c r="AK42" s="16"/>
      <c r="AL42" s="16"/>
      <c r="AM42" s="16"/>
      <c r="AN42" s="14"/>
      <c r="AO42" s="14"/>
      <c r="AY42" s="79"/>
      <c r="AZ42" s="79"/>
    </row>
    <row r="43" spans="1:72" s="3" customFormat="1" ht="15.6" customHeight="1" x14ac:dyDescent="0.15">
      <c r="A43" s="49"/>
      <c r="B43" s="634"/>
      <c r="C43" s="635"/>
      <c r="D43" s="620"/>
      <c r="E43" s="621"/>
      <c r="F43" s="621"/>
      <c r="G43" s="621"/>
      <c r="H43" s="59"/>
      <c r="I43" s="60"/>
      <c r="J43" s="61"/>
      <c r="K43" s="61"/>
      <c r="L43" s="61"/>
      <c r="M43" s="63"/>
      <c r="N43" s="60" t="s">
        <v>60</v>
      </c>
      <c r="O43" s="61"/>
      <c r="P43" s="61"/>
      <c r="Q43" s="616">
        <f>0+2+1</f>
        <v>3</v>
      </c>
      <c r="R43" s="617"/>
      <c r="S43" s="270" t="s">
        <v>94</v>
      </c>
      <c r="T43" s="271"/>
      <c r="U43" s="271"/>
      <c r="V43" s="271"/>
      <c r="W43" s="616">
        <f>0+0+0+0+1</f>
        <v>1</v>
      </c>
      <c r="X43" s="617"/>
      <c r="Y43" s="60" t="s">
        <v>99</v>
      </c>
      <c r="Z43" s="61"/>
      <c r="AA43" s="61"/>
      <c r="AB43" s="61"/>
      <c r="AC43" s="618">
        <f>0+0+0+0+0</f>
        <v>0</v>
      </c>
      <c r="AD43" s="619"/>
      <c r="AE43" s="285"/>
      <c r="AF43" s="286"/>
      <c r="AG43" s="6"/>
      <c r="AH43" s="16"/>
      <c r="AI43" s="541"/>
      <c r="AJ43" s="16"/>
      <c r="AK43" s="16"/>
      <c r="AL43" s="16"/>
      <c r="AM43" s="16"/>
      <c r="AN43" s="14"/>
      <c r="AO43" s="14"/>
      <c r="AY43" s="79"/>
      <c r="AZ43" s="79"/>
    </row>
    <row r="44" spans="1:72" s="3" customFormat="1" ht="15.6" customHeight="1" x14ac:dyDescent="0.15">
      <c r="A44" s="49"/>
      <c r="B44" s="634"/>
      <c r="C44" s="635"/>
      <c r="D44" s="270"/>
      <c r="E44" s="271"/>
      <c r="F44" s="271"/>
      <c r="G44" s="271"/>
      <c r="H44" s="59"/>
      <c r="I44" s="60"/>
      <c r="J44" s="61"/>
      <c r="K44" s="61"/>
      <c r="L44" s="61"/>
      <c r="M44" s="63"/>
      <c r="N44" s="60"/>
      <c r="O44" s="61"/>
      <c r="P44" s="61"/>
      <c r="Q44" s="266"/>
      <c r="R44" s="267"/>
      <c r="S44" s="270" t="s">
        <v>93</v>
      </c>
      <c r="T44" s="271"/>
      <c r="U44" s="271"/>
      <c r="V44" s="271"/>
      <c r="W44" s="616">
        <f>0+0+0+0+0</f>
        <v>0</v>
      </c>
      <c r="X44" s="617"/>
      <c r="Y44" s="60" t="s">
        <v>100</v>
      </c>
      <c r="Z44" s="61"/>
      <c r="AA44" s="61"/>
      <c r="AB44" s="61"/>
      <c r="AC44" s="618">
        <f>0+1+0+3+0</f>
        <v>4</v>
      </c>
      <c r="AD44" s="619"/>
      <c r="AE44" s="285"/>
      <c r="AF44" s="286"/>
      <c r="AG44" s="6"/>
      <c r="AH44" s="16"/>
      <c r="AI44" s="541"/>
      <c r="AJ44" s="16"/>
      <c r="AK44" s="16"/>
      <c r="AL44" s="16"/>
      <c r="AM44" s="16"/>
      <c r="AN44" s="14"/>
      <c r="AO44" s="14"/>
      <c r="AY44" s="79"/>
      <c r="AZ44" s="79"/>
    </row>
    <row r="45" spans="1:72" s="3" customFormat="1" ht="15.6" customHeight="1" x14ac:dyDescent="0.15">
      <c r="A45" s="49"/>
      <c r="B45" s="634"/>
      <c r="C45" s="635"/>
      <c r="D45" s="270"/>
      <c r="E45" s="271"/>
      <c r="F45" s="271"/>
      <c r="G45" s="271"/>
      <c r="H45" s="59"/>
      <c r="I45" s="60"/>
      <c r="J45" s="61"/>
      <c r="K45" s="61"/>
      <c r="L45" s="61"/>
      <c r="M45" s="63"/>
      <c r="N45" s="60"/>
      <c r="O45" s="61"/>
      <c r="P45" s="61"/>
      <c r="Q45" s="266"/>
      <c r="R45" s="267"/>
      <c r="S45" s="270" t="s">
        <v>95</v>
      </c>
      <c r="T45" s="271"/>
      <c r="U45" s="271"/>
      <c r="V45" s="271"/>
      <c r="W45" s="616">
        <f>0+3+4+3+0</f>
        <v>10</v>
      </c>
      <c r="X45" s="617"/>
      <c r="Y45" s="60" t="s">
        <v>101</v>
      </c>
      <c r="Z45" s="61"/>
      <c r="AA45" s="61"/>
      <c r="AB45" s="61"/>
      <c r="AC45" s="618">
        <f>0+0+0+0+1</f>
        <v>1</v>
      </c>
      <c r="AD45" s="619"/>
      <c r="AE45" s="285"/>
      <c r="AF45" s="286"/>
      <c r="AG45" s="6"/>
      <c r="AH45" s="16"/>
      <c r="AI45" s="541"/>
      <c r="AJ45" s="16"/>
      <c r="AK45" s="16"/>
      <c r="AL45" s="16"/>
      <c r="AM45" s="16"/>
      <c r="AN45" s="14"/>
      <c r="AO45" s="14"/>
      <c r="AY45" s="79"/>
      <c r="AZ45" s="79"/>
    </row>
    <row r="46" spans="1:72" s="3" customFormat="1" ht="15.6" customHeight="1" x14ac:dyDescent="0.15">
      <c r="A46" s="49"/>
      <c r="B46" s="634"/>
      <c r="C46" s="635"/>
      <c r="D46" s="270"/>
      <c r="E46" s="271"/>
      <c r="F46" s="271"/>
      <c r="G46" s="271"/>
      <c r="H46" s="59"/>
      <c r="I46" s="60"/>
      <c r="J46" s="61"/>
      <c r="K46" s="61"/>
      <c r="L46" s="61"/>
      <c r="M46" s="63"/>
      <c r="N46" s="60"/>
      <c r="O46" s="61"/>
      <c r="P46" s="61"/>
      <c r="Q46" s="266"/>
      <c r="R46" s="267"/>
      <c r="S46" s="270" t="s">
        <v>96</v>
      </c>
      <c r="T46" s="271"/>
      <c r="U46" s="271"/>
      <c r="V46" s="271"/>
      <c r="W46" s="616">
        <f>0+0+1+0+0</f>
        <v>1</v>
      </c>
      <c r="X46" s="617"/>
      <c r="Y46" s="60" t="s">
        <v>103</v>
      </c>
      <c r="Z46" s="61"/>
      <c r="AA46" s="61"/>
      <c r="AB46" s="61"/>
      <c r="AC46" s="618">
        <f>1+5+1+1+3</f>
        <v>11</v>
      </c>
      <c r="AD46" s="619"/>
      <c r="AE46" s="285"/>
      <c r="AF46" s="286"/>
      <c r="AG46" s="6"/>
      <c r="AH46" s="16"/>
      <c r="AI46" s="541"/>
      <c r="AJ46" s="16"/>
      <c r="AK46" s="16"/>
      <c r="AL46" s="16"/>
      <c r="AM46" s="16"/>
      <c r="AN46" s="14"/>
      <c r="AO46" s="14"/>
      <c r="AY46" s="79"/>
      <c r="AZ46" s="79"/>
    </row>
    <row r="47" spans="1:72" s="3" customFormat="1" ht="15.6" customHeight="1" x14ac:dyDescent="0.15">
      <c r="A47" s="49"/>
      <c r="B47" s="634"/>
      <c r="C47" s="635"/>
      <c r="D47" s="270"/>
      <c r="E47" s="271"/>
      <c r="F47" s="271"/>
      <c r="G47" s="271"/>
      <c r="H47" s="59"/>
      <c r="I47" s="60"/>
      <c r="J47" s="61"/>
      <c r="K47" s="61"/>
      <c r="L47" s="61"/>
      <c r="M47" s="63"/>
      <c r="N47" s="60"/>
      <c r="O47" s="61"/>
      <c r="P47" s="61"/>
      <c r="Q47" s="266"/>
      <c r="R47" s="267"/>
      <c r="S47" s="270" t="s">
        <v>80</v>
      </c>
      <c r="T47" s="271"/>
      <c r="U47" s="271"/>
      <c r="V47" s="271"/>
      <c r="W47" s="616">
        <f>12+14+8+14+16</f>
        <v>64</v>
      </c>
      <c r="X47" s="617"/>
      <c r="Y47" s="60" t="s">
        <v>104</v>
      </c>
      <c r="Z47" s="61"/>
      <c r="AA47" s="61"/>
      <c r="AB47" s="61"/>
      <c r="AC47" s="618">
        <f>0+0+0+1+0</f>
        <v>1</v>
      </c>
      <c r="AD47" s="619"/>
      <c r="AE47" s="285"/>
      <c r="AF47" s="286"/>
      <c r="AG47" s="6"/>
      <c r="AH47" s="16"/>
      <c r="AI47" s="16"/>
      <c r="AJ47" s="16"/>
      <c r="AK47" s="16"/>
      <c r="AL47" s="16"/>
      <c r="AM47" s="16"/>
      <c r="AN47" s="14"/>
      <c r="AO47" s="14"/>
      <c r="AY47" s="79"/>
      <c r="AZ47" s="79"/>
    </row>
    <row r="48" spans="1:72" s="3" customFormat="1" ht="15.6" customHeight="1" x14ac:dyDescent="0.15">
      <c r="A48" s="49"/>
      <c r="B48" s="634"/>
      <c r="C48" s="635"/>
      <c r="D48" s="270"/>
      <c r="E48" s="271"/>
      <c r="F48" s="271"/>
      <c r="G48" s="271"/>
      <c r="H48" s="59"/>
      <c r="I48" s="60"/>
      <c r="J48" s="61"/>
      <c r="K48" s="61"/>
      <c r="L48" s="61"/>
      <c r="M48" s="63"/>
      <c r="N48" s="60"/>
      <c r="O48" s="61"/>
      <c r="P48" s="61"/>
      <c r="Q48" s="266"/>
      <c r="R48" s="267"/>
      <c r="S48" s="270" t="s">
        <v>102</v>
      </c>
      <c r="T48" s="271"/>
      <c r="U48" s="271"/>
      <c r="V48" s="271"/>
      <c r="W48" s="616">
        <f>0+0+0+0+1</f>
        <v>1</v>
      </c>
      <c r="X48" s="617"/>
      <c r="Y48" s="60" t="s">
        <v>105</v>
      </c>
      <c r="Z48" s="61"/>
      <c r="AA48" s="61"/>
      <c r="AB48" s="61"/>
      <c r="AC48" s="618">
        <f>2+4+7+1+4</f>
        <v>18</v>
      </c>
      <c r="AD48" s="619"/>
      <c r="AE48" s="285"/>
      <c r="AF48" s="286"/>
      <c r="AG48" s="6"/>
      <c r="AH48" s="16"/>
      <c r="AI48" s="16"/>
      <c r="AJ48" s="16"/>
      <c r="AK48" s="16"/>
      <c r="AL48" s="16"/>
      <c r="AM48" s="16"/>
      <c r="AN48" s="14"/>
      <c r="AO48" s="14"/>
      <c r="AY48" s="79"/>
      <c r="AZ48" s="79"/>
    </row>
    <row r="49" spans="1:52" s="3" customFormat="1" ht="15.6" customHeight="1" x14ac:dyDescent="0.15">
      <c r="A49" s="49"/>
      <c r="B49" s="636"/>
      <c r="C49" s="637"/>
      <c r="D49" s="628"/>
      <c r="E49" s="629"/>
      <c r="F49" s="629"/>
      <c r="G49" s="629"/>
      <c r="H49" s="64"/>
      <c r="I49" s="65"/>
      <c r="J49" s="66"/>
      <c r="K49" s="66"/>
      <c r="L49" s="66"/>
      <c r="M49" s="67"/>
      <c r="N49" s="65"/>
      <c r="O49" s="66"/>
      <c r="P49" s="66"/>
      <c r="Q49" s="66"/>
      <c r="R49" s="67"/>
      <c r="S49" s="268" t="s">
        <v>24</v>
      </c>
      <c r="T49" s="269"/>
      <c r="U49" s="269"/>
      <c r="V49" s="269"/>
      <c r="W49" s="630">
        <f>1+3+1+1+2</f>
        <v>8</v>
      </c>
      <c r="X49" s="631"/>
      <c r="Y49" s="65" t="s">
        <v>24</v>
      </c>
      <c r="Z49" s="68"/>
      <c r="AA49" s="66"/>
      <c r="AB49" s="66"/>
      <c r="AC49" s="630">
        <f>5+0+2+8+1</f>
        <v>16</v>
      </c>
      <c r="AD49" s="631"/>
      <c r="AE49" s="289"/>
      <c r="AF49" s="290"/>
      <c r="AG49" s="8"/>
      <c r="AH49" s="16"/>
      <c r="AI49" s="16"/>
      <c r="AJ49" s="16"/>
      <c r="AK49" s="16"/>
      <c r="AL49" s="16"/>
      <c r="AM49" s="16"/>
      <c r="AN49" s="14"/>
      <c r="AO49" s="14"/>
      <c r="AY49" s="79"/>
      <c r="AZ49" s="79"/>
    </row>
    <row r="50" spans="1:52" s="3" customFormat="1" ht="15.6" customHeight="1" x14ac:dyDescent="0.15">
      <c r="A50" s="49"/>
      <c r="B50" s="291"/>
      <c r="C50" s="291"/>
      <c r="D50" s="286"/>
      <c r="E50" s="286"/>
      <c r="F50" s="286"/>
      <c r="G50" s="286"/>
      <c r="H50" s="286"/>
      <c r="I50" s="286"/>
      <c r="J50" s="286"/>
      <c r="K50" s="286"/>
      <c r="L50" s="286"/>
      <c r="M50" s="286"/>
      <c r="N50" s="286"/>
      <c r="O50" s="286"/>
      <c r="P50" s="294"/>
      <c r="Q50" s="294"/>
      <c r="R50" s="291"/>
      <c r="S50" s="286"/>
      <c r="T50" s="286"/>
      <c r="U50" s="286"/>
      <c r="V50" s="286"/>
      <c r="W50" s="292"/>
      <c r="X50" s="292"/>
      <c r="Y50" s="294"/>
      <c r="Z50" s="37"/>
      <c r="AA50" s="294"/>
      <c r="AB50" s="294"/>
      <c r="AC50" s="292"/>
      <c r="AD50" s="292"/>
      <c r="AE50" s="286"/>
      <c r="AF50" s="286"/>
      <c r="AG50" s="286"/>
      <c r="AH50" s="16"/>
      <c r="AI50" s="16"/>
      <c r="AJ50" s="16"/>
      <c r="AK50" s="16"/>
      <c r="AL50" s="16"/>
      <c r="AM50" s="16"/>
      <c r="AN50" s="14"/>
      <c r="AO50" s="14"/>
      <c r="AY50" s="79"/>
      <c r="AZ50" s="79"/>
    </row>
    <row r="51" spans="1:52" s="3" customFormat="1" ht="15.6" customHeight="1" x14ac:dyDescent="0.15">
      <c r="A51" s="49"/>
      <c r="B51" s="291"/>
      <c r="C51" s="291"/>
      <c r="D51" s="286"/>
      <c r="E51" s="286"/>
      <c r="F51" s="286"/>
      <c r="G51" s="286"/>
      <c r="H51" s="286"/>
      <c r="I51" s="286"/>
      <c r="J51" s="286"/>
      <c r="K51" s="286"/>
      <c r="L51" s="286"/>
      <c r="M51" s="286"/>
      <c r="N51" s="286"/>
      <c r="O51" s="286"/>
      <c r="P51" s="294"/>
      <c r="Q51" s="294"/>
      <c r="R51" s="291"/>
      <c r="S51" s="286"/>
      <c r="T51" s="286"/>
      <c r="U51" s="286"/>
      <c r="V51" s="286"/>
      <c r="W51" s="292"/>
      <c r="X51" s="292"/>
      <c r="Y51" s="294"/>
      <c r="Z51" s="37"/>
      <c r="AA51" s="294"/>
      <c r="AB51" s="294"/>
      <c r="AC51" s="292"/>
      <c r="AD51" s="292"/>
      <c r="AE51" s="286"/>
      <c r="AF51" s="286"/>
      <c r="AG51" s="286"/>
      <c r="AH51" s="16"/>
      <c r="AI51" s="16"/>
      <c r="AJ51" s="16"/>
      <c r="AK51" s="16"/>
      <c r="AL51" s="16"/>
      <c r="AM51" s="16"/>
      <c r="AN51" s="14"/>
      <c r="AO51" s="14"/>
      <c r="AY51" s="79"/>
      <c r="AZ51" s="79"/>
    </row>
    <row r="52" spans="1:52" s="3" customFormat="1" ht="15.6" customHeight="1" x14ac:dyDescent="0.15">
      <c r="A52" s="49"/>
      <c r="B52" s="291"/>
      <c r="C52" s="291"/>
      <c r="D52" s="286"/>
      <c r="E52" s="286"/>
      <c r="F52" s="286"/>
      <c r="G52" s="286"/>
      <c r="H52" s="286"/>
      <c r="I52" s="286"/>
      <c r="J52" s="286"/>
      <c r="K52" s="286"/>
      <c r="L52" s="286"/>
      <c r="M52" s="286"/>
      <c r="N52" s="286"/>
      <c r="O52" s="286"/>
      <c r="P52" s="294"/>
      <c r="Q52" s="294"/>
      <c r="R52" s="291"/>
      <c r="S52" s="286"/>
      <c r="T52" s="286"/>
      <c r="U52" s="286"/>
      <c r="V52" s="286"/>
      <c r="W52" s="292"/>
      <c r="X52" s="292"/>
      <c r="Y52" s="294"/>
      <c r="Z52" s="37"/>
      <c r="AA52" s="294"/>
      <c r="AB52" s="294"/>
      <c r="AC52" s="292"/>
      <c r="AD52" s="292"/>
      <c r="AE52" s="286"/>
      <c r="AF52" s="286"/>
      <c r="AG52" s="286"/>
      <c r="AH52" s="16"/>
      <c r="AI52" s="16"/>
      <c r="AJ52" s="16"/>
      <c r="AK52" s="16"/>
      <c r="AL52" s="16"/>
      <c r="AM52" s="16"/>
      <c r="AN52" s="14"/>
      <c r="AO52" s="14"/>
      <c r="AY52" s="79"/>
      <c r="AZ52" s="79"/>
    </row>
    <row r="53" spans="1:52" s="3" customFormat="1" ht="15.6" customHeight="1" x14ac:dyDescent="0.15">
      <c r="A53" s="49"/>
      <c r="B53" s="291"/>
      <c r="C53" s="291"/>
      <c r="D53" s="286"/>
      <c r="E53" s="286"/>
      <c r="F53" s="286"/>
      <c r="G53" s="286"/>
      <c r="H53" s="286"/>
      <c r="I53" s="286"/>
      <c r="J53" s="286"/>
      <c r="K53" s="286"/>
      <c r="L53" s="286"/>
      <c r="M53" s="286"/>
      <c r="N53" s="286"/>
      <c r="O53" s="286"/>
      <c r="P53" s="294"/>
      <c r="Q53" s="294"/>
      <c r="R53" s="291"/>
      <c r="S53" s="286"/>
      <c r="T53" s="286"/>
      <c r="U53" s="286"/>
      <c r="V53" s="286"/>
      <c r="W53" s="292"/>
      <c r="X53" s="292"/>
      <c r="Y53" s="294"/>
      <c r="Z53" s="37"/>
      <c r="AA53" s="294"/>
      <c r="AB53" s="294"/>
      <c r="AC53" s="292"/>
      <c r="AD53" s="292"/>
      <c r="AE53" s="286"/>
      <c r="AF53" s="286"/>
      <c r="AG53" s="286"/>
      <c r="AH53" s="16"/>
      <c r="AI53" s="16"/>
      <c r="AJ53" s="16"/>
      <c r="AK53" s="16"/>
      <c r="AL53" s="16"/>
      <c r="AM53" s="16"/>
      <c r="AN53" s="14"/>
      <c r="AO53" s="14"/>
      <c r="AY53" s="79"/>
      <c r="AZ53" s="79"/>
    </row>
    <row r="54" spans="1:52" s="3" customFormat="1" ht="15.6" customHeight="1" x14ac:dyDescent="0.15">
      <c r="A54" s="49"/>
      <c r="B54" s="291"/>
      <c r="C54" s="291"/>
      <c r="D54" s="286"/>
      <c r="E54" s="286"/>
      <c r="F54" s="286"/>
      <c r="G54" s="286"/>
      <c r="H54" s="286"/>
      <c r="I54" s="286"/>
      <c r="J54" s="286"/>
      <c r="K54" s="286"/>
      <c r="L54" s="286"/>
      <c r="M54" s="286"/>
      <c r="N54" s="286"/>
      <c r="O54" s="286"/>
      <c r="P54" s="294"/>
      <c r="Q54" s="294"/>
      <c r="R54" s="291"/>
      <c r="S54" s="286"/>
      <c r="T54" s="286"/>
      <c r="U54" s="286"/>
      <c r="V54" s="286"/>
      <c r="W54" s="292"/>
      <c r="X54" s="292"/>
      <c r="Y54" s="294"/>
      <c r="Z54" s="37"/>
      <c r="AA54" s="294"/>
      <c r="AB54" s="294"/>
      <c r="AC54" s="292"/>
      <c r="AD54" s="292"/>
      <c r="AE54" s="286"/>
      <c r="AF54" s="286"/>
      <c r="AG54" s="286"/>
      <c r="AH54" s="16"/>
      <c r="AI54" s="16"/>
      <c r="AJ54" s="16"/>
      <c r="AK54" s="16"/>
      <c r="AL54" s="16"/>
      <c r="AM54" s="16"/>
      <c r="AN54" s="14"/>
      <c r="AO54" s="14"/>
      <c r="AY54" s="79"/>
      <c r="AZ54" s="79"/>
    </row>
    <row r="55" spans="1:52" s="3" customFormat="1" ht="15.6" customHeight="1" x14ac:dyDescent="0.15">
      <c r="A55" s="50" t="s">
        <v>125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4"/>
      <c r="AO55" s="14"/>
      <c r="AY55" s="79"/>
      <c r="AZ55" s="79"/>
    </row>
    <row r="56" spans="1:52" s="3" customFormat="1" ht="15.6" customHeight="1" x14ac:dyDescent="0.15">
      <c r="A56" s="54"/>
      <c r="B56" s="644" t="s">
        <v>25</v>
      </c>
      <c r="C56" s="645"/>
      <c r="D56" s="645"/>
      <c r="E56" s="646"/>
      <c r="F56" s="647" t="s">
        <v>26</v>
      </c>
      <c r="G56" s="647"/>
      <c r="H56" s="647"/>
      <c r="I56" s="647"/>
      <c r="J56" s="647" t="s">
        <v>83</v>
      </c>
      <c r="K56" s="647"/>
      <c r="L56" s="647"/>
      <c r="M56" s="647"/>
      <c r="N56" s="647" t="s">
        <v>27</v>
      </c>
      <c r="O56" s="647"/>
      <c r="P56" s="647"/>
      <c r="Q56" s="647"/>
      <c r="R56" s="647" t="s">
        <v>84</v>
      </c>
      <c r="S56" s="647"/>
      <c r="T56" s="647"/>
      <c r="U56" s="647"/>
      <c r="V56" s="647" t="s">
        <v>85</v>
      </c>
      <c r="W56" s="647"/>
      <c r="X56" s="647"/>
      <c r="Y56" s="647"/>
      <c r="Z56" s="647" t="s">
        <v>28</v>
      </c>
      <c r="AA56" s="647"/>
      <c r="AB56" s="647"/>
      <c r="AC56" s="647"/>
      <c r="AD56" s="644" t="s">
        <v>29</v>
      </c>
      <c r="AE56" s="645"/>
      <c r="AF56" s="645"/>
      <c r="AG56" s="646"/>
      <c r="AH56" s="16"/>
      <c r="AI56" s="16"/>
      <c r="AJ56" s="16"/>
      <c r="AK56" s="16"/>
      <c r="AL56" s="16"/>
      <c r="AM56" s="16"/>
      <c r="AN56" s="14"/>
      <c r="AO56" s="14"/>
      <c r="AY56" s="79"/>
      <c r="AZ56" s="79"/>
    </row>
    <row r="57" spans="1:52" s="14" customFormat="1" ht="15.6" customHeight="1" x14ac:dyDescent="0.15">
      <c r="B57" s="701" t="s">
        <v>196</v>
      </c>
      <c r="C57" s="702"/>
      <c r="D57" s="702"/>
      <c r="E57" s="703"/>
      <c r="F57" s="829" t="s">
        <v>9</v>
      </c>
      <c r="G57" s="830"/>
      <c r="H57" s="830"/>
      <c r="I57" s="831"/>
      <c r="J57" s="613">
        <f>1281+3</f>
        <v>1284</v>
      </c>
      <c r="K57" s="614"/>
      <c r="L57" s="614"/>
      <c r="M57" s="615"/>
      <c r="N57" s="613">
        <v>113</v>
      </c>
      <c r="O57" s="614"/>
      <c r="P57" s="614"/>
      <c r="Q57" s="615"/>
      <c r="R57" s="613">
        <v>372</v>
      </c>
      <c r="S57" s="614"/>
      <c r="T57" s="614"/>
      <c r="U57" s="615"/>
      <c r="V57" s="613">
        <v>288</v>
      </c>
      <c r="W57" s="614"/>
      <c r="X57" s="614"/>
      <c r="Y57" s="615"/>
      <c r="Z57" s="613">
        <v>506</v>
      </c>
      <c r="AA57" s="614"/>
      <c r="AB57" s="614"/>
      <c r="AC57" s="615"/>
      <c r="AD57" s="613">
        <f>SUM(J57:AC57)</f>
        <v>2563</v>
      </c>
      <c r="AE57" s="614"/>
      <c r="AF57" s="614"/>
      <c r="AG57" s="615"/>
      <c r="AQ57" s="85"/>
      <c r="AR57" s="85"/>
      <c r="AY57" s="80"/>
      <c r="AZ57" s="80"/>
    </row>
    <row r="58" spans="1:52" s="14" customFormat="1" ht="15.6" customHeight="1" x14ac:dyDescent="0.15">
      <c r="B58" s="711"/>
      <c r="C58" s="712"/>
      <c r="D58" s="712"/>
      <c r="E58" s="713"/>
      <c r="F58" s="832" t="s">
        <v>30</v>
      </c>
      <c r="G58" s="833"/>
      <c r="H58" s="833"/>
      <c r="I58" s="834"/>
      <c r="J58" s="835">
        <f>J57/$AD$57</f>
        <v>0.50097541943035506</v>
      </c>
      <c r="K58" s="836"/>
      <c r="L58" s="836"/>
      <c r="M58" s="837"/>
      <c r="N58" s="835">
        <v>4.4999999999999998E-2</v>
      </c>
      <c r="O58" s="836"/>
      <c r="P58" s="836"/>
      <c r="Q58" s="837"/>
      <c r="R58" s="835">
        <f>R57/$AD$57</f>
        <v>0.14514241123683183</v>
      </c>
      <c r="S58" s="836"/>
      <c r="T58" s="836"/>
      <c r="U58" s="837"/>
      <c r="V58" s="835">
        <f>V57/$AD$57</f>
        <v>0.11236831837690207</v>
      </c>
      <c r="W58" s="836"/>
      <c r="X58" s="836"/>
      <c r="Y58" s="837"/>
      <c r="Z58" s="835">
        <f>Z57/$AD$57</f>
        <v>0.19742489270386265</v>
      </c>
      <c r="AA58" s="836"/>
      <c r="AB58" s="836"/>
      <c r="AC58" s="837"/>
      <c r="AD58" s="835">
        <v>1</v>
      </c>
      <c r="AE58" s="836"/>
      <c r="AF58" s="836"/>
      <c r="AG58" s="837"/>
      <c r="AJ58" s="84"/>
      <c r="AQ58" s="653"/>
      <c r="AR58" s="654"/>
      <c r="AY58" s="80"/>
      <c r="AZ58" s="80"/>
    </row>
    <row r="59" spans="1:52" s="14" customFormat="1" ht="15.6" customHeight="1" x14ac:dyDescent="0.15">
      <c r="B59" s="701" t="s">
        <v>155</v>
      </c>
      <c r="C59" s="702"/>
      <c r="D59" s="702"/>
      <c r="E59" s="703"/>
      <c r="F59" s="829" t="s">
        <v>9</v>
      </c>
      <c r="G59" s="830"/>
      <c r="H59" s="830"/>
      <c r="I59" s="831"/>
      <c r="J59" s="613">
        <v>1254</v>
      </c>
      <c r="K59" s="614"/>
      <c r="L59" s="614"/>
      <c r="M59" s="615"/>
      <c r="N59" s="613">
        <v>121</v>
      </c>
      <c r="O59" s="614"/>
      <c r="P59" s="614"/>
      <c r="Q59" s="615"/>
      <c r="R59" s="613">
        <v>365</v>
      </c>
      <c r="S59" s="614"/>
      <c r="T59" s="614"/>
      <c r="U59" s="615"/>
      <c r="V59" s="613">
        <v>288</v>
      </c>
      <c r="W59" s="614"/>
      <c r="X59" s="614"/>
      <c r="Y59" s="615"/>
      <c r="Z59" s="613">
        <v>510</v>
      </c>
      <c r="AA59" s="614"/>
      <c r="AB59" s="614"/>
      <c r="AC59" s="615"/>
      <c r="AD59" s="613">
        <v>2538</v>
      </c>
      <c r="AE59" s="614"/>
      <c r="AF59" s="614"/>
      <c r="AG59" s="615"/>
      <c r="AJ59" s="84"/>
      <c r="AQ59" s="654"/>
      <c r="AR59" s="654"/>
      <c r="AY59" s="80"/>
      <c r="AZ59" s="80"/>
    </row>
    <row r="60" spans="1:52" s="14" customFormat="1" ht="15.6" customHeight="1" x14ac:dyDescent="0.15">
      <c r="B60" s="711"/>
      <c r="C60" s="712"/>
      <c r="D60" s="712"/>
      <c r="E60" s="713"/>
      <c r="F60" s="832" t="s">
        <v>30</v>
      </c>
      <c r="G60" s="833"/>
      <c r="H60" s="833"/>
      <c r="I60" s="834"/>
      <c r="J60" s="835">
        <f>J59/$AD$59</f>
        <v>0.49408983451536642</v>
      </c>
      <c r="K60" s="836"/>
      <c r="L60" s="836"/>
      <c r="M60" s="837"/>
      <c r="N60" s="835">
        <f>N59/AD59</f>
        <v>4.7675334909377462E-2</v>
      </c>
      <c r="O60" s="836"/>
      <c r="P60" s="836"/>
      <c r="Q60" s="837"/>
      <c r="R60" s="835">
        <f>R59/AD59</f>
        <v>0.14381402679275021</v>
      </c>
      <c r="S60" s="836"/>
      <c r="T60" s="836"/>
      <c r="U60" s="837"/>
      <c r="V60" s="835">
        <f>V59/AD59</f>
        <v>0.11347517730496454</v>
      </c>
      <c r="W60" s="836"/>
      <c r="X60" s="836"/>
      <c r="Y60" s="837"/>
      <c r="Z60" s="835">
        <v>0.20100000000000001</v>
      </c>
      <c r="AA60" s="836"/>
      <c r="AB60" s="836"/>
      <c r="AC60" s="837"/>
      <c r="AD60" s="661">
        <v>1</v>
      </c>
      <c r="AE60" s="662"/>
      <c r="AF60" s="662"/>
      <c r="AG60" s="663"/>
      <c r="AJ60" s="84"/>
      <c r="AQ60" s="654"/>
      <c r="AR60" s="654"/>
      <c r="AY60" s="80"/>
      <c r="AZ60" s="80"/>
    </row>
    <row r="61" spans="1:52" s="14" customFormat="1" ht="15.6" customHeight="1" x14ac:dyDescent="0.15">
      <c r="A61" s="16"/>
      <c r="B61" s="667" t="s">
        <v>31</v>
      </c>
      <c r="C61" s="668"/>
      <c r="D61" s="668"/>
      <c r="E61" s="669"/>
      <c r="F61" s="673" t="s">
        <v>9</v>
      </c>
      <c r="G61" s="673"/>
      <c r="H61" s="673"/>
      <c r="I61" s="673"/>
      <c r="J61" s="674">
        <f>J57-J59</f>
        <v>30</v>
      </c>
      <c r="K61" s="674"/>
      <c r="L61" s="674"/>
      <c r="M61" s="674"/>
      <c r="N61" s="674">
        <f>N57-N59</f>
        <v>-8</v>
      </c>
      <c r="O61" s="674"/>
      <c r="P61" s="674"/>
      <c r="Q61" s="674"/>
      <c r="R61" s="674">
        <f>R57-R59</f>
        <v>7</v>
      </c>
      <c r="S61" s="674"/>
      <c r="T61" s="674"/>
      <c r="U61" s="674"/>
      <c r="V61" s="674">
        <f>V57-V59</f>
        <v>0</v>
      </c>
      <c r="W61" s="674"/>
      <c r="X61" s="674"/>
      <c r="Y61" s="674"/>
      <c r="Z61" s="674">
        <f>Z57-Z59</f>
        <v>-4</v>
      </c>
      <c r="AA61" s="674"/>
      <c r="AB61" s="674"/>
      <c r="AC61" s="674"/>
      <c r="AD61" s="675">
        <f>SUM(J61:AC61)</f>
        <v>25</v>
      </c>
      <c r="AE61" s="676"/>
      <c r="AF61" s="676"/>
      <c r="AG61" s="677"/>
      <c r="AH61" s="16"/>
      <c r="AI61" s="16"/>
      <c r="AJ61" s="16"/>
      <c r="AK61" s="16"/>
      <c r="AL61" s="16"/>
      <c r="AM61" s="16"/>
      <c r="AQ61" s="654"/>
      <c r="AR61" s="654"/>
      <c r="AY61" s="80"/>
      <c r="AZ61" s="80"/>
    </row>
    <row r="62" spans="1:52" s="14" customFormat="1" ht="15.6" customHeight="1" x14ac:dyDescent="0.15">
      <c r="A62" s="16"/>
      <c r="B62" s="670"/>
      <c r="C62" s="671"/>
      <c r="D62" s="671"/>
      <c r="E62" s="672"/>
      <c r="F62" s="692" t="s">
        <v>32</v>
      </c>
      <c r="G62" s="692"/>
      <c r="H62" s="692"/>
      <c r="I62" s="692"/>
      <c r="J62" s="693">
        <f>J57/J59</f>
        <v>1.0239234449760766</v>
      </c>
      <c r="K62" s="693"/>
      <c r="L62" s="693"/>
      <c r="M62" s="693"/>
      <c r="N62" s="693">
        <f>N57/N59</f>
        <v>0.93388429752066116</v>
      </c>
      <c r="O62" s="693"/>
      <c r="P62" s="693"/>
      <c r="Q62" s="693"/>
      <c r="R62" s="693">
        <f>R57/R59</f>
        <v>1.0191780821917809</v>
      </c>
      <c r="S62" s="693"/>
      <c r="T62" s="693"/>
      <c r="U62" s="693"/>
      <c r="V62" s="693">
        <f>V57/V59</f>
        <v>1</v>
      </c>
      <c r="W62" s="693"/>
      <c r="X62" s="693"/>
      <c r="Y62" s="693"/>
      <c r="Z62" s="693">
        <f>Z57/Z59</f>
        <v>0.99215686274509807</v>
      </c>
      <c r="AA62" s="693"/>
      <c r="AB62" s="693"/>
      <c r="AC62" s="693"/>
      <c r="AD62" s="694">
        <f>AD57/AD59</f>
        <v>1.0098502758077226</v>
      </c>
      <c r="AE62" s="695"/>
      <c r="AF62" s="695"/>
      <c r="AG62" s="696"/>
      <c r="AH62" s="16"/>
      <c r="AI62" s="16"/>
      <c r="AJ62" s="16"/>
      <c r="AK62" s="16"/>
      <c r="AL62" s="16"/>
      <c r="AM62" s="16"/>
      <c r="AQ62" s="654"/>
      <c r="AR62" s="654"/>
      <c r="AY62" s="80"/>
      <c r="AZ62" s="80"/>
    </row>
    <row r="63" spans="1:52" s="3" customFormat="1" ht="15.6" customHeight="1" x14ac:dyDescent="0.15">
      <c r="A63" s="49"/>
      <c r="B63" s="291"/>
      <c r="C63" s="291"/>
      <c r="D63" s="286"/>
      <c r="E63" s="286"/>
      <c r="F63" s="286"/>
      <c r="G63" s="286"/>
      <c r="H63" s="280"/>
      <c r="I63" s="294"/>
      <c r="J63" s="294"/>
      <c r="K63" s="294"/>
      <c r="L63" s="294"/>
      <c r="M63" s="291"/>
      <c r="N63" s="294"/>
      <c r="O63" s="294"/>
      <c r="P63" s="294"/>
      <c r="Q63" s="294"/>
      <c r="R63" s="291"/>
      <c r="S63" s="286"/>
      <c r="T63" s="286"/>
      <c r="U63" s="286"/>
      <c r="V63" s="286"/>
      <c r="W63" s="292"/>
      <c r="X63" s="292"/>
      <c r="Y63" s="294"/>
      <c r="Z63" s="37"/>
      <c r="AA63" s="294"/>
      <c r="AB63" s="294"/>
      <c r="AC63" s="292"/>
      <c r="AD63" s="292"/>
      <c r="AE63" s="286"/>
      <c r="AF63" s="286"/>
      <c r="AG63" s="286"/>
      <c r="AH63" s="16"/>
      <c r="AI63" s="16"/>
      <c r="AJ63" s="16"/>
      <c r="AK63" s="16"/>
      <c r="AL63" s="16"/>
      <c r="AM63" s="16"/>
      <c r="AN63" s="14"/>
      <c r="AO63" s="14"/>
      <c r="AQ63" s="654"/>
      <c r="AR63" s="654"/>
      <c r="AY63" s="79"/>
      <c r="AZ63" s="79"/>
    </row>
    <row r="64" spans="1:52" s="3" customFormat="1" ht="15.6" customHeight="1" x14ac:dyDescent="0.15">
      <c r="A64" s="56" t="s">
        <v>110</v>
      </c>
      <c r="B64" s="24"/>
      <c r="C64" s="24"/>
      <c r="D64" s="24"/>
      <c r="E64" s="24"/>
      <c r="F64" s="24"/>
      <c r="G64" s="46" t="s">
        <v>156</v>
      </c>
      <c r="H64" s="45"/>
      <c r="I64" s="45"/>
      <c r="J64" s="45"/>
      <c r="K64" s="45"/>
      <c r="L64" s="45"/>
      <c r="M64" s="45"/>
      <c r="N64" s="45"/>
      <c r="O64" s="36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75" t="s">
        <v>40</v>
      </c>
      <c r="AH64" s="16"/>
      <c r="AI64" s="16"/>
      <c r="AJ64" s="16"/>
      <c r="AK64" s="16"/>
      <c r="AL64" s="16"/>
      <c r="AM64" s="16"/>
      <c r="AN64" s="16"/>
      <c r="AO64" s="16"/>
      <c r="AP64" s="16"/>
      <c r="AQ64" s="654"/>
      <c r="AR64" s="654"/>
      <c r="AS64" s="16"/>
      <c r="AT64" s="16"/>
      <c r="AU64" s="16"/>
      <c r="AY64" s="79"/>
      <c r="AZ64" s="79"/>
    </row>
    <row r="65" spans="1:52" s="3" customFormat="1" ht="15.6" customHeight="1" x14ac:dyDescent="0.15">
      <c r="A65" s="49"/>
      <c r="B65" s="678" t="s">
        <v>25</v>
      </c>
      <c r="C65" s="679"/>
      <c r="D65" s="680"/>
      <c r="E65" s="684" t="s">
        <v>41</v>
      </c>
      <c r="F65" s="685"/>
      <c r="G65" s="686"/>
      <c r="H65" s="684" t="s">
        <v>42</v>
      </c>
      <c r="I65" s="685"/>
      <c r="J65" s="686"/>
      <c r="K65" s="684" t="s">
        <v>43</v>
      </c>
      <c r="L65" s="685"/>
      <c r="M65" s="690" t="s">
        <v>44</v>
      </c>
      <c r="N65" s="690"/>
      <c r="O65" s="690" t="s">
        <v>45</v>
      </c>
      <c r="P65" s="690"/>
      <c r="Q65" s="690"/>
      <c r="R65" s="684" t="s">
        <v>46</v>
      </c>
      <c r="S65" s="686"/>
      <c r="T65" s="684" t="s">
        <v>47</v>
      </c>
      <c r="U65" s="686"/>
      <c r="V65" s="690" t="s">
        <v>48</v>
      </c>
      <c r="W65" s="690"/>
      <c r="X65" s="690" t="s">
        <v>112</v>
      </c>
      <c r="Y65" s="690"/>
      <c r="Z65" s="684" t="s">
        <v>113</v>
      </c>
      <c r="AA65" s="685"/>
      <c r="AB65" s="686"/>
      <c r="AC65" s="697" t="s">
        <v>128</v>
      </c>
      <c r="AD65" s="698"/>
      <c r="AE65" s="684" t="s">
        <v>82</v>
      </c>
      <c r="AF65" s="685"/>
      <c r="AG65" s="686"/>
      <c r="AH65" s="16"/>
      <c r="AI65" s="16"/>
      <c r="AJ65" s="16"/>
      <c r="AK65" s="16"/>
      <c r="AL65" s="16"/>
      <c r="AM65" s="16"/>
      <c r="AN65" s="16"/>
      <c r="AO65" s="16"/>
      <c r="AP65" s="16"/>
      <c r="AQ65" s="654"/>
      <c r="AR65" s="654"/>
      <c r="AS65" s="16"/>
      <c r="AT65" s="16"/>
      <c r="AU65" s="16"/>
      <c r="AY65" s="79"/>
      <c r="AZ65" s="79"/>
    </row>
    <row r="66" spans="1:52" s="3" customFormat="1" ht="15.6" customHeight="1" x14ac:dyDescent="0.15">
      <c r="A66" s="49"/>
      <c r="B66" s="681"/>
      <c r="C66" s="682"/>
      <c r="D66" s="683"/>
      <c r="E66" s="687"/>
      <c r="F66" s="688"/>
      <c r="G66" s="689"/>
      <c r="H66" s="687"/>
      <c r="I66" s="688"/>
      <c r="J66" s="689"/>
      <c r="K66" s="687"/>
      <c r="L66" s="688"/>
      <c r="M66" s="691"/>
      <c r="N66" s="691"/>
      <c r="O66" s="691"/>
      <c r="P66" s="691"/>
      <c r="Q66" s="691"/>
      <c r="R66" s="687"/>
      <c r="S66" s="689"/>
      <c r="T66" s="687"/>
      <c r="U66" s="689"/>
      <c r="V66" s="691"/>
      <c r="W66" s="691"/>
      <c r="X66" s="691"/>
      <c r="Y66" s="691"/>
      <c r="Z66" s="687"/>
      <c r="AA66" s="688"/>
      <c r="AB66" s="689"/>
      <c r="AC66" s="699"/>
      <c r="AD66" s="700"/>
      <c r="AE66" s="687"/>
      <c r="AF66" s="688"/>
      <c r="AG66" s="689"/>
      <c r="AH66" s="16"/>
      <c r="AI66" s="16"/>
      <c r="AJ66" s="16"/>
      <c r="AK66" s="16"/>
      <c r="AL66" s="16"/>
      <c r="AM66" s="16"/>
      <c r="AN66" s="16"/>
      <c r="AO66" s="16"/>
      <c r="AP66" s="16"/>
      <c r="AQ66" s="654"/>
      <c r="AR66" s="654"/>
      <c r="AS66" s="16"/>
      <c r="AT66" s="16"/>
      <c r="AU66" s="16"/>
      <c r="AY66" s="79"/>
      <c r="AZ66" s="79"/>
    </row>
    <row r="67" spans="1:52" s="14" customFormat="1" ht="15.6" customHeight="1" x14ac:dyDescent="0.15">
      <c r="A67" s="295"/>
      <c r="B67" s="701" t="s">
        <v>86</v>
      </c>
      <c r="C67" s="702"/>
      <c r="D67" s="703"/>
      <c r="E67" s="667">
        <v>2207</v>
      </c>
      <c r="F67" s="668"/>
      <c r="G67" s="669"/>
      <c r="H67" s="667">
        <v>2335</v>
      </c>
      <c r="I67" s="668"/>
      <c r="J67" s="669"/>
      <c r="K67" s="667">
        <v>118</v>
      </c>
      <c r="L67" s="668"/>
      <c r="M67" s="673">
        <v>593</v>
      </c>
      <c r="N67" s="673"/>
      <c r="O67" s="673">
        <v>2142</v>
      </c>
      <c r="P67" s="673"/>
      <c r="Q67" s="673"/>
      <c r="R67" s="667">
        <v>1</v>
      </c>
      <c r="S67" s="669"/>
      <c r="T67" s="667">
        <v>61</v>
      </c>
      <c r="U67" s="669"/>
      <c r="V67" s="673">
        <v>9</v>
      </c>
      <c r="W67" s="673"/>
      <c r="X67" s="715">
        <v>12</v>
      </c>
      <c r="Y67" s="715"/>
      <c r="Z67" s="717">
        <v>5</v>
      </c>
      <c r="AA67" s="718"/>
      <c r="AB67" s="719"/>
      <c r="AC67" s="717">
        <v>0</v>
      </c>
      <c r="AD67" s="719"/>
      <c r="AE67" s="667">
        <f>SUM(E67:AD68)</f>
        <v>7483</v>
      </c>
      <c r="AF67" s="668"/>
      <c r="AG67" s="669"/>
      <c r="AH67" s="541"/>
      <c r="AI67" s="541"/>
      <c r="AJ67" s="541"/>
      <c r="AK67" s="541"/>
      <c r="AL67" s="541"/>
      <c r="AM67" s="541"/>
      <c r="AN67" s="541"/>
      <c r="AO67" s="541"/>
      <c r="AP67" s="295"/>
      <c r="AQ67" s="654"/>
      <c r="AR67" s="654"/>
      <c r="AS67" s="295"/>
      <c r="AT67" s="295"/>
      <c r="AU67" s="295"/>
      <c r="AY67" s="80"/>
      <c r="AZ67" s="80"/>
    </row>
    <row r="68" spans="1:52" s="14" customFormat="1" ht="15.6" customHeight="1" x14ac:dyDescent="0.15">
      <c r="A68" s="295"/>
      <c r="B68" s="711"/>
      <c r="C68" s="712"/>
      <c r="D68" s="713"/>
      <c r="E68" s="670"/>
      <c r="F68" s="671"/>
      <c r="G68" s="672"/>
      <c r="H68" s="670"/>
      <c r="I68" s="671"/>
      <c r="J68" s="672"/>
      <c r="K68" s="670"/>
      <c r="L68" s="671"/>
      <c r="M68" s="714"/>
      <c r="N68" s="714"/>
      <c r="O68" s="714"/>
      <c r="P68" s="714"/>
      <c r="Q68" s="714"/>
      <c r="R68" s="670"/>
      <c r="S68" s="672"/>
      <c r="T68" s="670"/>
      <c r="U68" s="672"/>
      <c r="V68" s="714"/>
      <c r="W68" s="714"/>
      <c r="X68" s="726"/>
      <c r="Y68" s="726"/>
      <c r="Z68" s="727"/>
      <c r="AA68" s="728"/>
      <c r="AB68" s="729"/>
      <c r="AC68" s="727"/>
      <c r="AD68" s="729"/>
      <c r="AE68" s="670"/>
      <c r="AF68" s="671"/>
      <c r="AG68" s="672"/>
      <c r="AH68" s="541"/>
      <c r="AI68" s="541"/>
      <c r="AJ68" s="541"/>
      <c r="AK68" s="541"/>
      <c r="AL68" s="541"/>
      <c r="AM68" s="541"/>
      <c r="AN68" s="541"/>
      <c r="AO68" s="541"/>
      <c r="AP68" s="295"/>
      <c r="AQ68" s="654"/>
      <c r="AR68" s="654"/>
      <c r="AS68" s="295"/>
      <c r="AT68" s="295"/>
      <c r="AU68" s="295"/>
      <c r="AY68" s="80"/>
      <c r="AZ68" s="80"/>
    </row>
    <row r="69" spans="1:52" s="14" customFormat="1" ht="15.6" customHeight="1" x14ac:dyDescent="0.15">
      <c r="A69" s="295"/>
      <c r="B69" s="701" t="s">
        <v>87</v>
      </c>
      <c r="C69" s="702"/>
      <c r="D69" s="703"/>
      <c r="E69" s="667">
        <v>2827</v>
      </c>
      <c r="F69" s="668"/>
      <c r="G69" s="669"/>
      <c r="H69" s="667">
        <v>2969</v>
      </c>
      <c r="I69" s="668"/>
      <c r="J69" s="669"/>
      <c r="K69" s="667">
        <v>172</v>
      </c>
      <c r="L69" s="668"/>
      <c r="M69" s="673">
        <v>614</v>
      </c>
      <c r="N69" s="673"/>
      <c r="O69" s="673">
        <v>2650</v>
      </c>
      <c r="P69" s="673"/>
      <c r="Q69" s="673"/>
      <c r="R69" s="667">
        <v>1</v>
      </c>
      <c r="S69" s="669"/>
      <c r="T69" s="667">
        <v>70</v>
      </c>
      <c r="U69" s="669"/>
      <c r="V69" s="673">
        <v>9</v>
      </c>
      <c r="W69" s="673"/>
      <c r="X69" s="715">
        <v>12</v>
      </c>
      <c r="Y69" s="715"/>
      <c r="Z69" s="717">
        <v>5</v>
      </c>
      <c r="AA69" s="718"/>
      <c r="AB69" s="719"/>
      <c r="AC69" s="717">
        <v>0</v>
      </c>
      <c r="AD69" s="719"/>
      <c r="AE69" s="723">
        <f>SUM(E69:AC70)</f>
        <v>9329</v>
      </c>
      <c r="AF69" s="724"/>
      <c r="AG69" s="725"/>
      <c r="AH69" s="541"/>
      <c r="AI69" s="541"/>
      <c r="AJ69" s="541"/>
      <c r="AK69" s="541"/>
      <c r="AL69" s="541"/>
      <c r="AM69" s="541"/>
      <c r="AN69" s="541"/>
      <c r="AO69" s="541"/>
      <c r="AP69" s="295"/>
      <c r="AQ69" s="86"/>
      <c r="AR69" s="86"/>
      <c r="AS69" s="295"/>
      <c r="AT69" s="295"/>
      <c r="AU69" s="295"/>
      <c r="AY69" s="80"/>
      <c r="AZ69" s="80"/>
    </row>
    <row r="70" spans="1:52" s="14" customFormat="1" ht="15.6" customHeight="1" thickBot="1" x14ac:dyDescent="0.2">
      <c r="A70" s="16"/>
      <c r="B70" s="704"/>
      <c r="C70" s="705"/>
      <c r="D70" s="706"/>
      <c r="E70" s="707"/>
      <c r="F70" s="708"/>
      <c r="G70" s="709"/>
      <c r="H70" s="707"/>
      <c r="I70" s="708"/>
      <c r="J70" s="709"/>
      <c r="K70" s="707"/>
      <c r="L70" s="708"/>
      <c r="M70" s="710"/>
      <c r="N70" s="710"/>
      <c r="O70" s="710"/>
      <c r="P70" s="710"/>
      <c r="Q70" s="710"/>
      <c r="R70" s="707"/>
      <c r="S70" s="709"/>
      <c r="T70" s="707"/>
      <c r="U70" s="709"/>
      <c r="V70" s="710"/>
      <c r="W70" s="710"/>
      <c r="X70" s="716"/>
      <c r="Y70" s="716"/>
      <c r="Z70" s="720"/>
      <c r="AA70" s="721"/>
      <c r="AB70" s="722"/>
      <c r="AC70" s="720"/>
      <c r="AD70" s="722"/>
      <c r="AE70" s="707"/>
      <c r="AF70" s="708"/>
      <c r="AG70" s="709"/>
      <c r="AH70" s="16"/>
      <c r="AI70" s="16"/>
      <c r="AJ70" s="16"/>
      <c r="AK70" s="16"/>
      <c r="AL70" s="16"/>
      <c r="AM70" s="16"/>
      <c r="AN70" s="16"/>
      <c r="AO70" s="16"/>
      <c r="AP70" s="16"/>
      <c r="AQ70" s="87"/>
      <c r="AR70" s="87"/>
      <c r="AS70" s="16"/>
      <c r="AT70" s="16"/>
      <c r="AU70" s="16"/>
      <c r="AY70" s="80"/>
      <c r="AZ70" s="80"/>
    </row>
    <row r="71" spans="1:52" s="14" customFormat="1" ht="15.6" customHeight="1" thickTop="1" x14ac:dyDescent="0.15">
      <c r="A71" s="16"/>
      <c r="B71" s="874" t="s">
        <v>159</v>
      </c>
      <c r="C71" s="875"/>
      <c r="D71" s="876"/>
      <c r="E71" s="847">
        <v>1797333</v>
      </c>
      <c r="F71" s="848"/>
      <c r="G71" s="849"/>
      <c r="H71" s="847">
        <v>1033415</v>
      </c>
      <c r="I71" s="848"/>
      <c r="J71" s="849"/>
      <c r="K71" s="847">
        <v>16563</v>
      </c>
      <c r="L71" s="848"/>
      <c r="M71" s="855">
        <v>196035</v>
      </c>
      <c r="N71" s="855"/>
      <c r="O71" s="855">
        <v>2794624</v>
      </c>
      <c r="P71" s="855"/>
      <c r="Q71" s="855"/>
      <c r="R71" s="847">
        <v>245</v>
      </c>
      <c r="S71" s="849"/>
      <c r="T71" s="847">
        <v>10120</v>
      </c>
      <c r="U71" s="849"/>
      <c r="V71" s="855">
        <v>17768</v>
      </c>
      <c r="W71" s="855"/>
      <c r="X71" s="855">
        <v>26860</v>
      </c>
      <c r="Y71" s="855"/>
      <c r="Z71" s="847">
        <v>1166</v>
      </c>
      <c r="AA71" s="848"/>
      <c r="AB71" s="849"/>
      <c r="AC71" s="870">
        <v>800</v>
      </c>
      <c r="AD71" s="871"/>
      <c r="AE71" s="847">
        <f>SUM(E71:AD72)</f>
        <v>5894929</v>
      </c>
      <c r="AF71" s="848"/>
      <c r="AG71" s="849"/>
      <c r="AH71" s="16"/>
      <c r="AI71" s="537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Y71" s="80"/>
      <c r="AZ71" s="80"/>
    </row>
    <row r="72" spans="1:52" s="14" customFormat="1" ht="15.6" customHeight="1" x14ac:dyDescent="0.15">
      <c r="A72" s="16"/>
      <c r="B72" s="877"/>
      <c r="C72" s="878"/>
      <c r="D72" s="879"/>
      <c r="E72" s="850"/>
      <c r="F72" s="851"/>
      <c r="G72" s="852"/>
      <c r="H72" s="850"/>
      <c r="I72" s="851"/>
      <c r="J72" s="852"/>
      <c r="K72" s="853"/>
      <c r="L72" s="854"/>
      <c r="M72" s="856"/>
      <c r="N72" s="856"/>
      <c r="O72" s="856"/>
      <c r="P72" s="856"/>
      <c r="Q72" s="856"/>
      <c r="R72" s="850"/>
      <c r="S72" s="852"/>
      <c r="T72" s="850"/>
      <c r="U72" s="852"/>
      <c r="V72" s="856"/>
      <c r="W72" s="856"/>
      <c r="X72" s="856"/>
      <c r="Y72" s="856"/>
      <c r="Z72" s="853"/>
      <c r="AA72" s="854"/>
      <c r="AB72" s="864"/>
      <c r="AC72" s="872"/>
      <c r="AD72" s="873"/>
      <c r="AE72" s="853"/>
      <c r="AF72" s="854"/>
      <c r="AG72" s="864"/>
      <c r="AH72" s="16"/>
      <c r="AI72" s="537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Y72" s="80"/>
      <c r="AZ72" s="80"/>
    </row>
    <row r="73" spans="1:52" s="14" customFormat="1" ht="15.6" customHeight="1" x14ac:dyDescent="0.15">
      <c r="A73" s="16"/>
      <c r="B73" s="865" t="s">
        <v>30</v>
      </c>
      <c r="C73" s="866"/>
      <c r="D73" s="867"/>
      <c r="E73" s="858">
        <v>0.3049</v>
      </c>
      <c r="F73" s="859"/>
      <c r="G73" s="860"/>
      <c r="H73" s="858">
        <f>H71/AE71</f>
        <v>0.17530575855960268</v>
      </c>
      <c r="I73" s="859"/>
      <c r="J73" s="860"/>
      <c r="K73" s="858">
        <f>K71/AE71</f>
        <v>2.8097030515549892E-3</v>
      </c>
      <c r="L73" s="860"/>
      <c r="M73" s="858">
        <f>M71/AE71</f>
        <v>3.3254853451161158E-2</v>
      </c>
      <c r="N73" s="859"/>
      <c r="O73" s="858">
        <f>O71/AE71</f>
        <v>0.47407254608155586</v>
      </c>
      <c r="P73" s="859"/>
      <c r="Q73" s="860"/>
      <c r="R73" s="868">
        <f>R71/AE71</f>
        <v>4.1561145180883433E-5</v>
      </c>
      <c r="S73" s="869"/>
      <c r="T73" s="868">
        <f>T71/AE71</f>
        <v>1.7167297519613892E-3</v>
      </c>
      <c r="U73" s="869"/>
      <c r="V73" s="857">
        <f>V71/AE71</f>
        <v>3.0141160309140281E-3</v>
      </c>
      <c r="W73" s="857"/>
      <c r="X73" s="857">
        <f>X71/AE71</f>
        <v>4.5564586104429759E-3</v>
      </c>
      <c r="Y73" s="857"/>
      <c r="Z73" s="858">
        <f>Z71/AE71</f>
        <v>1.9779712359555137E-4</v>
      </c>
      <c r="AA73" s="859"/>
      <c r="AB73" s="860"/>
      <c r="AC73" s="858">
        <f>AC71/AE71</f>
        <v>1.3570986181512959E-4</v>
      </c>
      <c r="AD73" s="860"/>
      <c r="AE73" s="861">
        <v>1</v>
      </c>
      <c r="AF73" s="862"/>
      <c r="AG73" s="863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Y73" s="80"/>
      <c r="AZ73" s="80"/>
    </row>
    <row r="74" spans="1:52" s="3" customFormat="1" ht="15.6" customHeight="1" x14ac:dyDescent="0.15">
      <c r="A74" s="49"/>
      <c r="B74" s="294"/>
      <c r="C74" s="291"/>
      <c r="D74" s="291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70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Y74" s="79"/>
      <c r="AZ74" s="79"/>
    </row>
    <row r="75" spans="1:52" s="3" customFormat="1" ht="15.6" customHeight="1" x14ac:dyDescent="0.15">
      <c r="A75" s="18" t="s">
        <v>71</v>
      </c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281" t="s">
        <v>33</v>
      </c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Y75" s="79"/>
      <c r="AZ75" s="79"/>
    </row>
    <row r="76" spans="1:52" s="3" customFormat="1" ht="15.6" customHeight="1" x14ac:dyDescent="0.15">
      <c r="A76" s="49"/>
      <c r="B76" s="730" t="s">
        <v>34</v>
      </c>
      <c r="C76" s="730"/>
      <c r="D76" s="730"/>
      <c r="E76" s="730"/>
      <c r="F76" s="730"/>
      <c r="G76" s="730"/>
      <c r="H76" s="730" t="s">
        <v>35</v>
      </c>
      <c r="I76" s="730"/>
      <c r="J76" s="730"/>
      <c r="K76" s="730"/>
      <c r="L76" s="730"/>
      <c r="M76" s="730"/>
      <c r="N76" s="730"/>
      <c r="O76" s="730"/>
      <c r="P76" s="730"/>
      <c r="Q76" s="730"/>
      <c r="R76" s="730"/>
      <c r="S76" s="730"/>
      <c r="T76" s="730"/>
      <c r="U76" s="730"/>
      <c r="V76" s="730"/>
      <c r="W76" s="730"/>
      <c r="X76" s="730"/>
      <c r="Y76" s="730"/>
      <c r="Z76" s="549" t="s">
        <v>36</v>
      </c>
      <c r="AA76" s="550"/>
      <c r="AB76" s="550"/>
      <c r="AC76" s="550"/>
      <c r="AD76" s="550"/>
      <c r="AE76" s="550"/>
      <c r="AF76" s="550"/>
      <c r="AG76" s="551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Y76" s="79"/>
      <c r="AZ76" s="79"/>
    </row>
    <row r="77" spans="1:52" s="3" customFormat="1" ht="15.6" customHeight="1" x14ac:dyDescent="0.15">
      <c r="A77" s="49"/>
      <c r="B77" s="730"/>
      <c r="C77" s="730"/>
      <c r="D77" s="730"/>
      <c r="E77" s="730"/>
      <c r="F77" s="730"/>
      <c r="G77" s="730"/>
      <c r="H77" s="730" t="s">
        <v>37</v>
      </c>
      <c r="I77" s="730"/>
      <c r="J77" s="730"/>
      <c r="K77" s="730"/>
      <c r="L77" s="730"/>
      <c r="M77" s="730"/>
      <c r="N77" s="730" t="s">
        <v>38</v>
      </c>
      <c r="O77" s="730"/>
      <c r="P77" s="730"/>
      <c r="Q77" s="730"/>
      <c r="R77" s="730"/>
      <c r="S77" s="730"/>
      <c r="T77" s="730" t="s">
        <v>39</v>
      </c>
      <c r="U77" s="730"/>
      <c r="V77" s="730"/>
      <c r="W77" s="730"/>
      <c r="X77" s="730"/>
      <c r="Y77" s="730"/>
      <c r="Z77" s="552"/>
      <c r="AA77" s="553"/>
      <c r="AB77" s="553"/>
      <c r="AC77" s="553"/>
      <c r="AD77" s="553"/>
      <c r="AE77" s="553"/>
      <c r="AF77" s="553"/>
      <c r="AG77" s="554"/>
      <c r="AH77" s="16"/>
      <c r="AI77" s="16"/>
      <c r="AJ77" s="16"/>
      <c r="AK77" s="16"/>
      <c r="AL77" s="14"/>
      <c r="AM77" s="14"/>
      <c r="AN77" s="14"/>
      <c r="AO77" s="14"/>
      <c r="AY77" s="79"/>
      <c r="AZ77" s="79"/>
    </row>
    <row r="78" spans="1:52" s="3" customFormat="1" ht="15.6" customHeight="1" x14ac:dyDescent="0.15">
      <c r="A78" s="49"/>
      <c r="B78" s="731" t="s">
        <v>136</v>
      </c>
      <c r="C78" s="732"/>
      <c r="D78" s="732"/>
      <c r="E78" s="732"/>
      <c r="F78" s="732"/>
      <c r="G78" s="733"/>
      <c r="H78" s="734">
        <v>5190000</v>
      </c>
      <c r="I78" s="735"/>
      <c r="J78" s="735"/>
      <c r="K78" s="735"/>
      <c r="L78" s="735"/>
      <c r="M78" s="736"/>
      <c r="N78" s="737">
        <v>210000</v>
      </c>
      <c r="O78" s="738"/>
      <c r="P78" s="738"/>
      <c r="Q78" s="738"/>
      <c r="R78" s="738"/>
      <c r="S78" s="739"/>
      <c r="T78" s="734">
        <f t="shared" ref="T78:T81" si="1">SUM(H78:S78)</f>
        <v>5400000</v>
      </c>
      <c r="U78" s="735"/>
      <c r="V78" s="735"/>
      <c r="W78" s="735"/>
      <c r="X78" s="735"/>
      <c r="Y78" s="736"/>
      <c r="Z78" s="740">
        <v>5385302</v>
      </c>
      <c r="AA78" s="741"/>
      <c r="AB78" s="741"/>
      <c r="AC78" s="741"/>
      <c r="AD78" s="741"/>
      <c r="AE78" s="741"/>
      <c r="AF78" s="741"/>
      <c r="AG78" s="742"/>
      <c r="AH78" s="16"/>
      <c r="AI78" s="16"/>
      <c r="AJ78" s="16"/>
      <c r="AK78" s="16"/>
      <c r="AL78" s="14"/>
      <c r="AM78" s="14"/>
      <c r="AN78" s="14"/>
      <c r="AO78" s="14"/>
      <c r="AY78" s="79"/>
      <c r="AZ78" s="79"/>
    </row>
    <row r="79" spans="1:52" s="3" customFormat="1" ht="15.6" customHeight="1" x14ac:dyDescent="0.15">
      <c r="A79" s="49"/>
      <c r="B79" s="731" t="s">
        <v>137</v>
      </c>
      <c r="C79" s="732"/>
      <c r="D79" s="732"/>
      <c r="E79" s="732"/>
      <c r="F79" s="732"/>
      <c r="G79" s="733"/>
      <c r="H79" s="734">
        <v>5300000</v>
      </c>
      <c r="I79" s="735"/>
      <c r="J79" s="735"/>
      <c r="K79" s="735"/>
      <c r="L79" s="735"/>
      <c r="M79" s="736"/>
      <c r="N79" s="737">
        <v>346000</v>
      </c>
      <c r="O79" s="738"/>
      <c r="P79" s="738"/>
      <c r="Q79" s="738"/>
      <c r="R79" s="738"/>
      <c r="S79" s="739"/>
      <c r="T79" s="734">
        <f t="shared" si="1"/>
        <v>5646000</v>
      </c>
      <c r="U79" s="735"/>
      <c r="V79" s="735"/>
      <c r="W79" s="735"/>
      <c r="X79" s="735"/>
      <c r="Y79" s="736"/>
      <c r="Z79" s="740">
        <v>5636644</v>
      </c>
      <c r="AA79" s="741"/>
      <c r="AB79" s="741"/>
      <c r="AC79" s="741"/>
      <c r="AD79" s="741"/>
      <c r="AE79" s="741"/>
      <c r="AF79" s="741"/>
      <c r="AG79" s="742"/>
      <c r="AH79" s="16"/>
      <c r="AI79" s="16"/>
      <c r="AJ79" s="16"/>
      <c r="AK79" s="16"/>
      <c r="AL79" s="14"/>
      <c r="AM79" s="14"/>
      <c r="AN79" s="14"/>
      <c r="AO79" s="14"/>
      <c r="AY79" s="79"/>
      <c r="AZ79" s="79"/>
    </row>
    <row r="80" spans="1:52" s="3" customFormat="1" ht="15.6" customHeight="1" x14ac:dyDescent="0.15">
      <c r="A80" s="49"/>
      <c r="B80" s="731" t="s">
        <v>138</v>
      </c>
      <c r="C80" s="732"/>
      <c r="D80" s="732"/>
      <c r="E80" s="732"/>
      <c r="F80" s="732"/>
      <c r="G80" s="733"/>
      <c r="H80" s="734">
        <v>5310000</v>
      </c>
      <c r="I80" s="735"/>
      <c r="J80" s="735"/>
      <c r="K80" s="735"/>
      <c r="L80" s="735"/>
      <c r="M80" s="736"/>
      <c r="N80" s="743">
        <v>197000</v>
      </c>
      <c r="O80" s="744"/>
      <c r="P80" s="744"/>
      <c r="Q80" s="744"/>
      <c r="R80" s="744"/>
      <c r="S80" s="745"/>
      <c r="T80" s="734">
        <f t="shared" si="1"/>
        <v>5507000</v>
      </c>
      <c r="U80" s="735"/>
      <c r="V80" s="735"/>
      <c r="W80" s="735"/>
      <c r="X80" s="735"/>
      <c r="Y80" s="736"/>
      <c r="Z80" s="734">
        <v>5500325</v>
      </c>
      <c r="AA80" s="735"/>
      <c r="AB80" s="735"/>
      <c r="AC80" s="735"/>
      <c r="AD80" s="735"/>
      <c r="AE80" s="735"/>
      <c r="AF80" s="735"/>
      <c r="AG80" s="736"/>
      <c r="AH80" s="16"/>
      <c r="AI80" s="16"/>
      <c r="AJ80" s="16"/>
      <c r="AK80" s="16"/>
      <c r="AL80" s="16"/>
      <c r="AM80" s="16"/>
      <c r="AN80" s="16"/>
      <c r="AO80" s="16"/>
      <c r="AY80" s="79"/>
      <c r="AZ80" s="79"/>
    </row>
    <row r="81" spans="1:54" s="3" customFormat="1" ht="15.6" customHeight="1" x14ac:dyDescent="0.15">
      <c r="A81" s="49"/>
      <c r="B81" s="746" t="s">
        <v>132</v>
      </c>
      <c r="C81" s="746"/>
      <c r="D81" s="746"/>
      <c r="E81" s="746"/>
      <c r="F81" s="746"/>
      <c r="G81" s="746"/>
      <c r="H81" s="747">
        <v>5510000</v>
      </c>
      <c r="I81" s="748"/>
      <c r="J81" s="748"/>
      <c r="K81" s="748"/>
      <c r="L81" s="748"/>
      <c r="M81" s="749"/>
      <c r="N81" s="743">
        <v>388000</v>
      </c>
      <c r="O81" s="744"/>
      <c r="P81" s="744"/>
      <c r="Q81" s="744"/>
      <c r="R81" s="744"/>
      <c r="S81" s="745"/>
      <c r="T81" s="747">
        <f t="shared" si="1"/>
        <v>5898000</v>
      </c>
      <c r="U81" s="748"/>
      <c r="V81" s="748"/>
      <c r="W81" s="748"/>
      <c r="X81" s="748"/>
      <c r="Y81" s="749"/>
      <c r="Z81" s="747">
        <v>5894929</v>
      </c>
      <c r="AA81" s="748"/>
      <c r="AB81" s="748"/>
      <c r="AC81" s="748"/>
      <c r="AD81" s="748"/>
      <c r="AE81" s="748"/>
      <c r="AF81" s="748"/>
      <c r="AG81" s="749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Y81" s="79"/>
      <c r="AZ81" s="79"/>
    </row>
    <row r="82" spans="1:54" s="14" customFormat="1" ht="15.6" customHeight="1" x14ac:dyDescent="0.15">
      <c r="A82" s="16"/>
      <c r="B82" s="746" t="s">
        <v>145</v>
      </c>
      <c r="C82" s="746"/>
      <c r="D82" s="746"/>
      <c r="E82" s="746"/>
      <c r="F82" s="746"/>
      <c r="G82" s="746"/>
      <c r="H82" s="747">
        <v>5596000</v>
      </c>
      <c r="I82" s="748"/>
      <c r="J82" s="748"/>
      <c r="K82" s="748"/>
      <c r="L82" s="748"/>
      <c r="M82" s="749"/>
      <c r="N82" s="743">
        <v>448000</v>
      </c>
      <c r="O82" s="744"/>
      <c r="P82" s="744"/>
      <c r="Q82" s="744"/>
      <c r="R82" s="744"/>
      <c r="S82" s="745"/>
      <c r="T82" s="747">
        <f>SUM(H82:S82)</f>
        <v>6044000</v>
      </c>
      <c r="U82" s="748"/>
      <c r="V82" s="748"/>
      <c r="W82" s="748"/>
      <c r="X82" s="748"/>
      <c r="Y82" s="749"/>
      <c r="Z82" s="844"/>
      <c r="AA82" s="845"/>
      <c r="AB82" s="845"/>
      <c r="AC82" s="845"/>
      <c r="AD82" s="845"/>
      <c r="AE82" s="845"/>
      <c r="AF82" s="845"/>
      <c r="AG82" s="84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Y82" s="80"/>
      <c r="AZ82" s="80"/>
    </row>
    <row r="83" spans="1:54" s="3" customFormat="1" ht="15.6" customHeight="1" x14ac:dyDescent="0.15">
      <c r="A83" s="49"/>
      <c r="B83" s="291"/>
      <c r="C83" s="291"/>
      <c r="D83" s="291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Y83" s="79"/>
      <c r="AZ83" s="79"/>
    </row>
    <row r="84" spans="1:54" s="1" customFormat="1" ht="15.6" customHeight="1" x14ac:dyDescent="0.15">
      <c r="A84" s="49" t="s">
        <v>49</v>
      </c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2" t="s">
        <v>197</v>
      </c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Y84" s="265"/>
      <c r="AZ84" s="265"/>
    </row>
    <row r="85" spans="1:54" s="1" customFormat="1" ht="15.6" customHeight="1" x14ac:dyDescent="0.15">
      <c r="A85" s="49"/>
      <c r="B85" s="730" t="s">
        <v>78</v>
      </c>
      <c r="C85" s="730"/>
      <c r="D85" s="730"/>
      <c r="E85" s="730"/>
      <c r="F85" s="730"/>
      <c r="G85" s="751" t="s">
        <v>127</v>
      </c>
      <c r="H85" s="752"/>
      <c r="I85" s="752"/>
      <c r="J85" s="752"/>
      <c r="K85" s="753"/>
      <c r="L85" s="751" t="s">
        <v>138</v>
      </c>
      <c r="M85" s="752"/>
      <c r="N85" s="752"/>
      <c r="O85" s="752"/>
      <c r="P85" s="753"/>
      <c r="Q85" s="751" t="s">
        <v>132</v>
      </c>
      <c r="R85" s="752"/>
      <c r="S85" s="752"/>
      <c r="T85" s="752"/>
      <c r="U85" s="753"/>
      <c r="V85" s="754" t="s">
        <v>145</v>
      </c>
      <c r="W85" s="730"/>
      <c r="X85" s="730"/>
      <c r="Y85" s="730"/>
      <c r="Z85" s="730"/>
      <c r="AA85" s="754" t="s">
        <v>177</v>
      </c>
      <c r="AB85" s="730"/>
      <c r="AC85" s="730"/>
      <c r="AD85" s="730"/>
      <c r="AE85" s="730"/>
      <c r="AF85" s="16"/>
      <c r="AG85" s="16"/>
      <c r="AH85" s="16"/>
      <c r="AI85" s="13"/>
      <c r="AJ85" s="13"/>
      <c r="AK85" s="13"/>
      <c r="AL85" s="13"/>
      <c r="AM85" s="13"/>
      <c r="AN85" s="13"/>
      <c r="AO85" s="13"/>
      <c r="AY85" s="265"/>
      <c r="AZ85" s="265"/>
    </row>
    <row r="86" spans="1:54" s="1" customFormat="1" ht="15.6" customHeight="1" x14ac:dyDescent="0.15">
      <c r="A86" s="49"/>
      <c r="B86" s="756" t="s">
        <v>77</v>
      </c>
      <c r="C86" s="756"/>
      <c r="D86" s="756"/>
      <c r="E86" s="756"/>
      <c r="F86" s="756"/>
      <c r="G86" s="757">
        <f>990+98</f>
        <v>1088</v>
      </c>
      <c r="H86" s="758"/>
      <c r="I86" s="758"/>
      <c r="J86" s="758"/>
      <c r="K86" s="759"/>
      <c r="L86" s="757">
        <v>1174</v>
      </c>
      <c r="M86" s="758"/>
      <c r="N86" s="758"/>
      <c r="O86" s="758"/>
      <c r="P86" s="759"/>
      <c r="Q86" s="757">
        <v>1207</v>
      </c>
      <c r="R86" s="758"/>
      <c r="S86" s="758"/>
      <c r="T86" s="758"/>
      <c r="U86" s="759"/>
      <c r="V86" s="763">
        <v>1103</v>
      </c>
      <c r="W86" s="763"/>
      <c r="X86" s="763"/>
      <c r="Y86" s="763"/>
      <c r="Z86" s="763"/>
      <c r="AA86" s="764">
        <f>77+122+80+81+103</f>
        <v>463</v>
      </c>
      <c r="AB86" s="764"/>
      <c r="AC86" s="764"/>
      <c r="AD86" s="764"/>
      <c r="AE86" s="764"/>
      <c r="AF86" s="16"/>
      <c r="AG86" s="16"/>
      <c r="AH86" s="16"/>
      <c r="AI86" s="755"/>
      <c r="AJ86" s="755"/>
      <c r="AK86" s="755"/>
      <c r="AL86" s="13"/>
      <c r="AM86" s="13"/>
      <c r="AN86" s="13"/>
      <c r="AO86" s="13"/>
      <c r="AY86" s="265"/>
      <c r="AZ86" s="265"/>
    </row>
    <row r="87" spans="1:54" s="1" customFormat="1" ht="15.6" customHeight="1" x14ac:dyDescent="0.15">
      <c r="A87" s="49"/>
      <c r="B87" s="756" t="s">
        <v>76</v>
      </c>
      <c r="C87" s="756"/>
      <c r="D87" s="756"/>
      <c r="E87" s="756"/>
      <c r="F87" s="756"/>
      <c r="G87" s="757">
        <v>91</v>
      </c>
      <c r="H87" s="758"/>
      <c r="I87" s="758"/>
      <c r="J87" s="758"/>
      <c r="K87" s="759"/>
      <c r="L87" s="757">
        <f>L86/12</f>
        <v>97.833333333333329</v>
      </c>
      <c r="M87" s="758"/>
      <c r="N87" s="758"/>
      <c r="O87" s="758"/>
      <c r="P87" s="759"/>
      <c r="Q87" s="757">
        <f>Q86/12</f>
        <v>100.58333333333333</v>
      </c>
      <c r="R87" s="758"/>
      <c r="S87" s="758"/>
      <c r="T87" s="758"/>
      <c r="U87" s="759"/>
      <c r="V87" s="757">
        <f>V86/12</f>
        <v>91.916666666666671</v>
      </c>
      <c r="W87" s="758"/>
      <c r="X87" s="758"/>
      <c r="Y87" s="758"/>
      <c r="Z87" s="759"/>
      <c r="AA87" s="760">
        <f>AA86/5</f>
        <v>92.6</v>
      </c>
      <c r="AB87" s="761"/>
      <c r="AC87" s="761"/>
      <c r="AD87" s="761"/>
      <c r="AE87" s="762"/>
      <c r="AF87" s="16"/>
      <c r="AG87" s="16"/>
      <c r="AH87" s="16"/>
      <c r="AI87" s="889"/>
      <c r="AJ87" s="13"/>
      <c r="AK87" s="13"/>
      <c r="AL87" s="13"/>
      <c r="AM87" s="13"/>
      <c r="AN87" s="13"/>
      <c r="AO87" s="13"/>
      <c r="AY87" s="265"/>
      <c r="AZ87" s="265"/>
    </row>
    <row r="88" spans="1:54" s="1" customFormat="1" ht="15.6" customHeight="1" x14ac:dyDescent="0.15">
      <c r="A88" s="49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3"/>
      <c r="AJ88" s="13"/>
      <c r="AK88" s="13"/>
      <c r="AL88" s="13"/>
      <c r="AM88" s="13"/>
      <c r="AN88" s="13"/>
      <c r="AO88" s="13"/>
      <c r="AY88" s="265"/>
      <c r="AZ88" s="265"/>
    </row>
    <row r="89" spans="1:54" s="1" customFormat="1" ht="15.6" customHeight="1" x14ac:dyDescent="0.15">
      <c r="A89" s="50" t="s">
        <v>63</v>
      </c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AA89" s="75" t="s">
        <v>197</v>
      </c>
      <c r="AB89" s="75"/>
      <c r="AC89" s="75"/>
      <c r="AD89" s="75"/>
      <c r="AE89" s="75"/>
      <c r="AF89" s="16"/>
      <c r="AG89" s="16"/>
      <c r="AH89" s="16"/>
      <c r="AI89" s="13"/>
      <c r="AJ89" s="13"/>
      <c r="AK89" s="13"/>
      <c r="AL89" s="13"/>
      <c r="AM89" s="13"/>
      <c r="AN89" s="13"/>
      <c r="AO89" s="13"/>
      <c r="AY89" s="265"/>
      <c r="AZ89" s="265"/>
    </row>
    <row r="90" spans="1:54" s="1" customFormat="1" ht="15.6" customHeight="1" x14ac:dyDescent="0.15">
      <c r="A90" s="49"/>
      <c r="B90" s="765" t="s">
        <v>70</v>
      </c>
      <c r="C90" s="766"/>
      <c r="D90" s="767"/>
      <c r="E90" s="765" t="s">
        <v>50</v>
      </c>
      <c r="F90" s="766"/>
      <c r="G90" s="766"/>
      <c r="H90" s="766"/>
      <c r="I90" s="767"/>
      <c r="J90" s="751" t="s">
        <v>133</v>
      </c>
      <c r="K90" s="752"/>
      <c r="L90" s="752"/>
      <c r="M90" s="752"/>
      <c r="N90" s="752"/>
      <c r="O90" s="752"/>
      <c r="P90" s="752"/>
      <c r="Q90" s="753"/>
      <c r="R90" s="751" t="s">
        <v>146</v>
      </c>
      <c r="S90" s="752"/>
      <c r="T90" s="752"/>
      <c r="U90" s="752"/>
      <c r="V90" s="752"/>
      <c r="W90" s="752"/>
      <c r="X90" s="752"/>
      <c r="Y90" s="753"/>
      <c r="Z90" s="751" t="s">
        <v>178</v>
      </c>
      <c r="AA90" s="752"/>
      <c r="AB90" s="752"/>
      <c r="AC90" s="752"/>
      <c r="AD90" s="752"/>
      <c r="AE90" s="752"/>
      <c r="AF90" s="752"/>
      <c r="AG90" s="753"/>
      <c r="AH90" s="16"/>
      <c r="AI90" s="13"/>
      <c r="AJ90" s="13"/>
      <c r="AK90" s="13"/>
      <c r="AL90" s="13"/>
      <c r="AM90" s="13"/>
      <c r="AN90" s="13"/>
      <c r="AO90" s="13"/>
      <c r="AY90" s="265"/>
      <c r="AZ90" s="265"/>
    </row>
    <row r="91" spans="1:54" s="1" customFormat="1" ht="15.6" customHeight="1" x14ac:dyDescent="0.15">
      <c r="A91" s="49"/>
      <c r="B91" s="785"/>
      <c r="C91" s="786"/>
      <c r="D91" s="787"/>
      <c r="E91" s="785"/>
      <c r="F91" s="786"/>
      <c r="G91" s="786"/>
      <c r="H91" s="786"/>
      <c r="I91" s="787"/>
      <c r="J91" s="788" t="s">
        <v>51</v>
      </c>
      <c r="K91" s="788"/>
      <c r="L91" s="788"/>
      <c r="M91" s="788"/>
      <c r="N91" s="765" t="s">
        <v>30</v>
      </c>
      <c r="O91" s="766"/>
      <c r="P91" s="766"/>
      <c r="Q91" s="767"/>
      <c r="R91" s="788" t="s">
        <v>51</v>
      </c>
      <c r="S91" s="788"/>
      <c r="T91" s="788"/>
      <c r="U91" s="788"/>
      <c r="V91" s="765" t="s">
        <v>30</v>
      </c>
      <c r="W91" s="766"/>
      <c r="X91" s="766"/>
      <c r="Y91" s="767"/>
      <c r="Z91" s="788" t="s">
        <v>51</v>
      </c>
      <c r="AA91" s="788"/>
      <c r="AB91" s="788"/>
      <c r="AC91" s="788"/>
      <c r="AD91" s="765" t="s">
        <v>30</v>
      </c>
      <c r="AE91" s="766"/>
      <c r="AF91" s="766"/>
      <c r="AG91" s="767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Y91" s="265"/>
      <c r="AZ91" s="265"/>
    </row>
    <row r="92" spans="1:54" s="1" customFormat="1" ht="15.6" customHeight="1" x14ac:dyDescent="0.15">
      <c r="A92" s="52"/>
      <c r="B92" s="768" t="s">
        <v>74</v>
      </c>
      <c r="C92" s="769"/>
      <c r="D92" s="770"/>
      <c r="E92" s="777" t="s">
        <v>52</v>
      </c>
      <c r="F92" s="777"/>
      <c r="G92" s="777"/>
      <c r="H92" s="777"/>
      <c r="I92" s="777"/>
      <c r="J92" s="778">
        <v>193</v>
      </c>
      <c r="K92" s="778"/>
      <c r="L92" s="778"/>
      <c r="M92" s="778"/>
      <c r="N92" s="779">
        <f>J92/SUM(J92:M96)</f>
        <v>0.15990057995028997</v>
      </c>
      <c r="O92" s="779"/>
      <c r="P92" s="779"/>
      <c r="Q92" s="779"/>
      <c r="R92" s="780">
        <v>206</v>
      </c>
      <c r="S92" s="778"/>
      <c r="T92" s="778"/>
      <c r="U92" s="778"/>
      <c r="V92" s="779">
        <f>R92/V86</f>
        <v>0.18676337262012693</v>
      </c>
      <c r="W92" s="779"/>
      <c r="X92" s="779"/>
      <c r="Y92" s="779"/>
      <c r="Z92" s="781">
        <f>13+27+18+18+18</f>
        <v>94</v>
      </c>
      <c r="AA92" s="782"/>
      <c r="AB92" s="782"/>
      <c r="AC92" s="782"/>
      <c r="AD92" s="823">
        <f>Z92/AA86</f>
        <v>0.20302375809935205</v>
      </c>
      <c r="AE92" s="823"/>
      <c r="AF92" s="823"/>
      <c r="AG92" s="823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Y92" s="789"/>
      <c r="AZ92" s="789"/>
    </row>
    <row r="93" spans="1:54" s="1" customFormat="1" ht="15.6" customHeight="1" x14ac:dyDescent="0.15">
      <c r="A93" s="52"/>
      <c r="B93" s="771"/>
      <c r="C93" s="772"/>
      <c r="D93" s="773"/>
      <c r="E93" s="784" t="s">
        <v>53</v>
      </c>
      <c r="F93" s="784"/>
      <c r="G93" s="784"/>
      <c r="H93" s="784"/>
      <c r="I93" s="784"/>
      <c r="J93" s="790">
        <v>600</v>
      </c>
      <c r="K93" s="790"/>
      <c r="L93" s="790"/>
      <c r="M93" s="790"/>
      <c r="N93" s="791">
        <f>J93/SUM(J92:M96)</f>
        <v>0.4971002485501243</v>
      </c>
      <c r="O93" s="791"/>
      <c r="P93" s="791"/>
      <c r="Q93" s="791"/>
      <c r="R93" s="792">
        <v>391</v>
      </c>
      <c r="S93" s="790"/>
      <c r="T93" s="790"/>
      <c r="U93" s="790"/>
      <c r="V93" s="793">
        <f>R93/V86</f>
        <v>0.35448776065276516</v>
      </c>
      <c r="W93" s="794"/>
      <c r="X93" s="794"/>
      <c r="Y93" s="795"/>
      <c r="Z93" s="796">
        <f>42+50+26+32+39</f>
        <v>189</v>
      </c>
      <c r="AA93" s="797"/>
      <c r="AB93" s="797"/>
      <c r="AC93" s="797"/>
      <c r="AD93" s="783">
        <f>Z93/AA86</f>
        <v>0.40820734341252701</v>
      </c>
      <c r="AE93" s="783"/>
      <c r="AF93" s="783"/>
      <c r="AG93" s="783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Y93" s="789"/>
      <c r="AZ93" s="789"/>
    </row>
    <row r="94" spans="1:54" s="1" customFormat="1" ht="15.6" customHeight="1" x14ac:dyDescent="0.15">
      <c r="A94" s="52"/>
      <c r="B94" s="771"/>
      <c r="C94" s="772"/>
      <c r="D94" s="773"/>
      <c r="E94" s="784" t="s">
        <v>54</v>
      </c>
      <c r="F94" s="784"/>
      <c r="G94" s="784"/>
      <c r="H94" s="784"/>
      <c r="I94" s="784"/>
      <c r="J94" s="790">
        <v>20</v>
      </c>
      <c r="K94" s="790"/>
      <c r="L94" s="790"/>
      <c r="M94" s="790"/>
      <c r="N94" s="791">
        <f>J94/SUM(J92:M96)</f>
        <v>1.6570008285004142E-2</v>
      </c>
      <c r="O94" s="791"/>
      <c r="P94" s="791"/>
      <c r="Q94" s="791"/>
      <c r="R94" s="792">
        <v>15</v>
      </c>
      <c r="S94" s="790"/>
      <c r="T94" s="790"/>
      <c r="U94" s="790"/>
      <c r="V94" s="793">
        <f>R94/V86</f>
        <v>1.3599274705349048E-2</v>
      </c>
      <c r="W94" s="794"/>
      <c r="X94" s="794"/>
      <c r="Y94" s="795"/>
      <c r="Z94" s="796">
        <f>2+0+4+0+0</f>
        <v>6</v>
      </c>
      <c r="AA94" s="797"/>
      <c r="AB94" s="797"/>
      <c r="AC94" s="797"/>
      <c r="AD94" s="783">
        <f>Z94/AA86</f>
        <v>1.2958963282937365E-2</v>
      </c>
      <c r="AE94" s="783"/>
      <c r="AF94" s="783"/>
      <c r="AG94" s="783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Y94" s="789"/>
      <c r="AZ94" s="789"/>
    </row>
    <row r="95" spans="1:54" s="1" customFormat="1" ht="15.6" customHeight="1" x14ac:dyDescent="0.15">
      <c r="A95" s="52"/>
      <c r="B95" s="771"/>
      <c r="C95" s="772"/>
      <c r="D95" s="773"/>
      <c r="E95" s="798" t="s">
        <v>55</v>
      </c>
      <c r="F95" s="798"/>
      <c r="G95" s="798"/>
      <c r="H95" s="798"/>
      <c r="I95" s="798"/>
      <c r="J95" s="790">
        <v>0</v>
      </c>
      <c r="K95" s="790"/>
      <c r="L95" s="790"/>
      <c r="M95" s="790"/>
      <c r="N95" s="791">
        <f>J95/SUM(J92:M96)</f>
        <v>0</v>
      </c>
      <c r="O95" s="791"/>
      <c r="P95" s="791"/>
      <c r="Q95" s="791"/>
      <c r="R95" s="792">
        <v>0</v>
      </c>
      <c r="S95" s="790"/>
      <c r="T95" s="790"/>
      <c r="U95" s="790"/>
      <c r="V95" s="793">
        <v>0</v>
      </c>
      <c r="W95" s="794"/>
      <c r="X95" s="794"/>
      <c r="Y95" s="795"/>
      <c r="Z95" s="796">
        <f>0+0+0+0+0</f>
        <v>0</v>
      </c>
      <c r="AA95" s="797"/>
      <c r="AB95" s="797"/>
      <c r="AC95" s="797"/>
      <c r="AD95" s="783">
        <v>0</v>
      </c>
      <c r="AE95" s="783"/>
      <c r="AF95" s="783"/>
      <c r="AG95" s="783"/>
      <c r="AH95" s="13"/>
      <c r="AI95" s="16"/>
      <c r="AJ95" s="16"/>
      <c r="AK95" s="799"/>
      <c r="AL95" s="799"/>
      <c r="AM95" s="799"/>
      <c r="AN95" s="13"/>
      <c r="AO95" s="13"/>
      <c r="AP95" s="72"/>
      <c r="AQ95" s="72"/>
      <c r="AR95" s="72"/>
      <c r="AS95" s="72"/>
      <c r="AT95" s="72"/>
      <c r="AU95" s="72"/>
      <c r="AV95" s="73"/>
      <c r="AW95" s="73"/>
      <c r="AX95" s="73"/>
      <c r="AY95" s="789"/>
      <c r="AZ95" s="789"/>
      <c r="BA95" s="73"/>
    </row>
    <row r="96" spans="1:54" s="1" customFormat="1" ht="15.6" customHeight="1" x14ac:dyDescent="0.15">
      <c r="A96" s="52"/>
      <c r="B96" s="774"/>
      <c r="C96" s="775"/>
      <c r="D96" s="776"/>
      <c r="E96" s="805" t="s">
        <v>56</v>
      </c>
      <c r="F96" s="805"/>
      <c r="G96" s="805"/>
      <c r="H96" s="805"/>
      <c r="I96" s="805"/>
      <c r="J96" s="806">
        <v>394</v>
      </c>
      <c r="K96" s="806"/>
      <c r="L96" s="806"/>
      <c r="M96" s="806"/>
      <c r="N96" s="807">
        <v>0.32600000000000001</v>
      </c>
      <c r="O96" s="807"/>
      <c r="P96" s="807"/>
      <c r="Q96" s="807"/>
      <c r="R96" s="808">
        <v>491</v>
      </c>
      <c r="S96" s="806"/>
      <c r="T96" s="806"/>
      <c r="U96" s="806"/>
      <c r="V96" s="809">
        <f>R96/V86</f>
        <v>0.44514959202175886</v>
      </c>
      <c r="W96" s="810"/>
      <c r="X96" s="810"/>
      <c r="Y96" s="811"/>
      <c r="Z96" s="812">
        <f>20+45+32+31+46</f>
        <v>174</v>
      </c>
      <c r="AA96" s="813"/>
      <c r="AB96" s="813"/>
      <c r="AC96" s="813"/>
      <c r="AD96" s="783">
        <f>Z96/AA86</f>
        <v>0.37580993520518358</v>
      </c>
      <c r="AE96" s="783"/>
      <c r="AF96" s="783"/>
      <c r="AG96" s="783"/>
      <c r="AH96" s="13"/>
      <c r="AI96" s="13"/>
      <c r="AJ96" s="800"/>
      <c r="AK96" s="800"/>
      <c r="AL96" s="800"/>
      <c r="AM96" s="13"/>
      <c r="AN96" s="13"/>
      <c r="AO96" s="13"/>
      <c r="AP96" s="13"/>
      <c r="AQ96" s="13"/>
      <c r="AY96" s="789"/>
      <c r="AZ96" s="789"/>
      <c r="BA96" s="801"/>
      <c r="BB96" s="801"/>
    </row>
    <row r="97" spans="1:54" s="1" customFormat="1" ht="15.6" customHeight="1" x14ac:dyDescent="0.15">
      <c r="A97" s="52"/>
      <c r="B97" s="768" t="s">
        <v>75</v>
      </c>
      <c r="C97" s="769"/>
      <c r="D97" s="770"/>
      <c r="E97" s="777" t="s">
        <v>57</v>
      </c>
      <c r="F97" s="777"/>
      <c r="G97" s="777"/>
      <c r="H97" s="777"/>
      <c r="I97" s="777"/>
      <c r="J97" s="778">
        <v>113</v>
      </c>
      <c r="K97" s="778"/>
      <c r="L97" s="778"/>
      <c r="M97" s="778"/>
      <c r="N97" s="779">
        <f>J97/SUM(J97:M100)</f>
        <v>9.3620546810273403E-2</v>
      </c>
      <c r="O97" s="779"/>
      <c r="P97" s="779"/>
      <c r="Q97" s="779"/>
      <c r="R97" s="778">
        <v>86</v>
      </c>
      <c r="S97" s="778"/>
      <c r="T97" s="778"/>
      <c r="U97" s="778"/>
      <c r="V97" s="802">
        <f>R97/SUM(R97:U100)</f>
        <v>7.7969174977334549E-2</v>
      </c>
      <c r="W97" s="803"/>
      <c r="X97" s="803"/>
      <c r="Y97" s="804"/>
      <c r="Z97" s="782">
        <f>3+16+6+5+31</f>
        <v>61</v>
      </c>
      <c r="AA97" s="782"/>
      <c r="AB97" s="782"/>
      <c r="AC97" s="782"/>
      <c r="AD97" s="814">
        <f>Z97/AA86</f>
        <v>0.13174946004319654</v>
      </c>
      <c r="AE97" s="814"/>
      <c r="AF97" s="814"/>
      <c r="AG97" s="814"/>
      <c r="AH97" s="13"/>
      <c r="AI97" s="13"/>
      <c r="AJ97" s="13"/>
      <c r="AK97" s="799"/>
      <c r="AL97" s="799"/>
      <c r="AM97" s="799"/>
      <c r="AN97" s="13"/>
      <c r="AO97" s="13"/>
      <c r="AP97" s="13"/>
      <c r="AQ97" s="13"/>
      <c r="AY97" s="789"/>
      <c r="AZ97" s="789"/>
    </row>
    <row r="98" spans="1:54" s="1" customFormat="1" ht="15.6" customHeight="1" x14ac:dyDescent="0.15">
      <c r="A98" s="52"/>
      <c r="B98" s="771"/>
      <c r="C98" s="772"/>
      <c r="D98" s="773"/>
      <c r="E98" s="784" t="s">
        <v>58</v>
      </c>
      <c r="F98" s="784"/>
      <c r="G98" s="784"/>
      <c r="H98" s="784"/>
      <c r="I98" s="784"/>
      <c r="J98" s="790">
        <v>62</v>
      </c>
      <c r="K98" s="790"/>
      <c r="L98" s="790"/>
      <c r="M98" s="790"/>
      <c r="N98" s="791">
        <f>J98/SUM(J97:M100)</f>
        <v>5.136702568351284E-2</v>
      </c>
      <c r="O98" s="791"/>
      <c r="P98" s="791"/>
      <c r="Q98" s="791"/>
      <c r="R98" s="790">
        <v>57</v>
      </c>
      <c r="S98" s="790"/>
      <c r="T98" s="790"/>
      <c r="U98" s="790"/>
      <c r="V98" s="793">
        <f>R98/SUM(R97:U100)</f>
        <v>5.1677243880326386E-2</v>
      </c>
      <c r="W98" s="794"/>
      <c r="X98" s="794"/>
      <c r="Y98" s="795"/>
      <c r="Z98" s="797">
        <f>2+2+7+5+4</f>
        <v>20</v>
      </c>
      <c r="AA98" s="797"/>
      <c r="AB98" s="797"/>
      <c r="AC98" s="797"/>
      <c r="AD98" s="783">
        <f>Z98/AA86</f>
        <v>4.3196544276457881E-2</v>
      </c>
      <c r="AE98" s="783"/>
      <c r="AF98" s="783"/>
      <c r="AG98" s="78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Y98" s="789"/>
      <c r="AZ98" s="789"/>
    </row>
    <row r="99" spans="1:54" s="3" customFormat="1" ht="15.6" customHeight="1" x14ac:dyDescent="0.15">
      <c r="A99" s="52"/>
      <c r="B99" s="771"/>
      <c r="C99" s="772"/>
      <c r="D99" s="773"/>
      <c r="E99" s="784" t="s">
        <v>59</v>
      </c>
      <c r="F99" s="784"/>
      <c r="G99" s="784"/>
      <c r="H99" s="784"/>
      <c r="I99" s="784"/>
      <c r="J99" s="790">
        <v>341</v>
      </c>
      <c r="K99" s="790"/>
      <c r="L99" s="790"/>
      <c r="M99" s="790"/>
      <c r="N99" s="791">
        <f>J99/SUM(J97:M100)</f>
        <v>0.28251864125932064</v>
      </c>
      <c r="O99" s="791"/>
      <c r="P99" s="791"/>
      <c r="Q99" s="791"/>
      <c r="R99" s="790">
        <v>361</v>
      </c>
      <c r="S99" s="790"/>
      <c r="T99" s="790"/>
      <c r="U99" s="790"/>
      <c r="V99" s="793">
        <f>R99/SUM(R97:U100)</f>
        <v>0.32728921124206711</v>
      </c>
      <c r="W99" s="794"/>
      <c r="X99" s="794"/>
      <c r="Y99" s="795"/>
      <c r="Z99" s="797">
        <f>21+36+30+21+9</f>
        <v>117</v>
      </c>
      <c r="AA99" s="797"/>
      <c r="AB99" s="797"/>
      <c r="AC99" s="797"/>
      <c r="AD99" s="783">
        <f>Z99/AA86</f>
        <v>0.25269978401727861</v>
      </c>
      <c r="AE99" s="783"/>
      <c r="AF99" s="783"/>
      <c r="AG99" s="78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Y99" s="789"/>
      <c r="AZ99" s="789"/>
    </row>
    <row r="100" spans="1:54" s="3" customFormat="1" ht="15.6" customHeight="1" x14ac:dyDescent="0.15">
      <c r="A100" s="52"/>
      <c r="B100" s="774"/>
      <c r="C100" s="775"/>
      <c r="D100" s="776"/>
      <c r="E100" s="805" t="s">
        <v>56</v>
      </c>
      <c r="F100" s="805"/>
      <c r="G100" s="805"/>
      <c r="H100" s="805"/>
      <c r="I100" s="805"/>
      <c r="J100" s="806">
        <v>691</v>
      </c>
      <c r="K100" s="806"/>
      <c r="L100" s="806"/>
      <c r="M100" s="806"/>
      <c r="N100" s="807">
        <f>J100/SUM(J97:M100)</f>
        <v>0.57249378624689318</v>
      </c>
      <c r="O100" s="807"/>
      <c r="P100" s="807"/>
      <c r="Q100" s="807"/>
      <c r="R100" s="806">
        <v>599</v>
      </c>
      <c r="S100" s="806"/>
      <c r="T100" s="806"/>
      <c r="U100" s="806"/>
      <c r="V100" s="809">
        <f>R100/SUM(R97:U100)</f>
        <v>0.54306436990027196</v>
      </c>
      <c r="W100" s="810"/>
      <c r="X100" s="810"/>
      <c r="Y100" s="811"/>
      <c r="Z100" s="813">
        <f>51+68+37+50+59</f>
        <v>265</v>
      </c>
      <c r="AA100" s="813"/>
      <c r="AB100" s="813"/>
      <c r="AC100" s="813"/>
      <c r="AD100" s="817">
        <f>Z100/AA86</f>
        <v>0.57235421166306699</v>
      </c>
      <c r="AE100" s="817"/>
      <c r="AF100" s="817"/>
      <c r="AG100" s="817"/>
      <c r="AH100" s="13"/>
      <c r="AI100" s="13"/>
      <c r="AJ100" s="800"/>
      <c r="AK100" s="800"/>
      <c r="AL100" s="800"/>
      <c r="AM100" s="83"/>
      <c r="AN100" s="13"/>
      <c r="AO100" s="13"/>
      <c r="AP100" s="13"/>
      <c r="AQ100" s="13"/>
      <c r="AY100" s="789"/>
      <c r="AZ100" s="789"/>
      <c r="BA100" s="789"/>
      <c r="BB100" s="789"/>
    </row>
    <row r="101" spans="1:54" s="3" customFormat="1" ht="15.6" customHeight="1" x14ac:dyDescent="0.15">
      <c r="A101" s="55"/>
      <c r="Y101" s="2"/>
      <c r="Z101" s="2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Y101" s="79"/>
      <c r="AZ101" s="79"/>
    </row>
    <row r="102" spans="1:54" s="3" customFormat="1" ht="15.6" customHeight="1" x14ac:dyDescent="0.15">
      <c r="A102" s="14" t="s">
        <v>1</v>
      </c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AG102" s="4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Y102" s="79"/>
      <c r="AZ102" s="79"/>
    </row>
    <row r="103" spans="1:54" s="3" customFormat="1" ht="15.6" customHeight="1" x14ac:dyDescent="0.15">
      <c r="A103" s="50" t="s">
        <v>176</v>
      </c>
      <c r="AG103" s="4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Y103" s="79"/>
      <c r="AZ103" s="79"/>
    </row>
    <row r="104" spans="1:54" s="3" customFormat="1" ht="15.6" customHeight="1" x14ac:dyDescent="0.15">
      <c r="A104" s="55"/>
      <c r="B104" s="595" t="s">
        <v>14</v>
      </c>
      <c r="C104" s="595"/>
      <c r="D104" s="595" t="s">
        <v>15</v>
      </c>
      <c r="E104" s="595"/>
      <c r="F104" s="595"/>
      <c r="G104" s="595"/>
      <c r="H104" s="595"/>
      <c r="I104" s="595" t="s">
        <v>16</v>
      </c>
      <c r="J104" s="595"/>
      <c r="K104" s="595"/>
      <c r="L104" s="595"/>
      <c r="M104" s="595"/>
      <c r="N104" s="595" t="s">
        <v>17</v>
      </c>
      <c r="O104" s="595"/>
      <c r="P104" s="595"/>
      <c r="Q104" s="595"/>
      <c r="R104" s="595"/>
      <c r="S104" s="595" t="s">
        <v>18</v>
      </c>
      <c r="T104" s="595"/>
      <c r="U104" s="595"/>
      <c r="V104" s="595"/>
      <c r="W104" s="595"/>
      <c r="X104" s="595" t="s">
        <v>19</v>
      </c>
      <c r="Y104" s="595"/>
      <c r="Z104" s="595"/>
      <c r="AA104" s="595"/>
      <c r="AB104" s="595"/>
      <c r="AC104" s="595" t="s">
        <v>20</v>
      </c>
      <c r="AD104" s="595"/>
      <c r="AE104" s="595"/>
      <c r="AF104" s="595"/>
      <c r="AG104" s="7"/>
      <c r="AH104" s="14"/>
      <c r="AI104" s="14"/>
      <c r="AJ104" s="14"/>
      <c r="AK104" s="14"/>
      <c r="AL104" s="14"/>
      <c r="AM104" s="14"/>
      <c r="AN104" s="14"/>
      <c r="AO104" s="14"/>
      <c r="AY104" s="79"/>
      <c r="AZ104" s="79"/>
    </row>
    <row r="105" spans="1:54" ht="15.6" customHeight="1" x14ac:dyDescent="0.15">
      <c r="A105" s="52"/>
      <c r="B105" s="815" t="s">
        <v>9</v>
      </c>
      <c r="C105" s="815"/>
      <c r="D105" s="816">
        <v>46</v>
      </c>
      <c r="E105" s="816"/>
      <c r="F105" s="816"/>
      <c r="G105" s="816"/>
      <c r="H105" s="816"/>
      <c r="I105" s="816">
        <v>2</v>
      </c>
      <c r="J105" s="816"/>
      <c r="K105" s="816"/>
      <c r="L105" s="816"/>
      <c r="M105" s="816"/>
      <c r="N105" s="816">
        <v>0</v>
      </c>
      <c r="O105" s="816"/>
      <c r="P105" s="816"/>
      <c r="Q105" s="816"/>
      <c r="R105" s="816"/>
      <c r="S105" s="816">
        <v>43</v>
      </c>
      <c r="T105" s="816"/>
      <c r="U105" s="816"/>
      <c r="V105" s="816"/>
      <c r="W105" s="816"/>
      <c r="X105" s="816">
        <v>19</v>
      </c>
      <c r="Y105" s="816"/>
      <c r="Z105" s="816"/>
      <c r="AA105" s="816"/>
      <c r="AB105" s="816"/>
      <c r="AC105" s="816">
        <f>S105-X105</f>
        <v>24</v>
      </c>
      <c r="AD105" s="816"/>
      <c r="AE105" s="816"/>
      <c r="AF105" s="816"/>
    </row>
    <row r="106" spans="1:54" ht="15.6" customHeight="1" x14ac:dyDescent="0.15">
      <c r="A106" s="50" t="s">
        <v>198</v>
      </c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</row>
    <row r="107" spans="1:54" ht="15.6" customHeight="1" x14ac:dyDescent="0.15">
      <c r="A107" s="55"/>
      <c r="B107" s="595" t="s">
        <v>14</v>
      </c>
      <c r="C107" s="595"/>
      <c r="D107" s="595" t="s">
        <v>15</v>
      </c>
      <c r="E107" s="595"/>
      <c r="F107" s="595"/>
      <c r="G107" s="595"/>
      <c r="H107" s="595"/>
      <c r="I107" s="595" t="s">
        <v>16</v>
      </c>
      <c r="J107" s="595"/>
      <c r="K107" s="595"/>
      <c r="L107" s="595"/>
      <c r="M107" s="595"/>
      <c r="N107" s="595" t="s">
        <v>17</v>
      </c>
      <c r="O107" s="595"/>
      <c r="P107" s="595"/>
      <c r="Q107" s="595"/>
      <c r="R107" s="595"/>
      <c r="S107" s="595" t="s">
        <v>18</v>
      </c>
      <c r="T107" s="595"/>
      <c r="U107" s="595"/>
      <c r="V107" s="595"/>
      <c r="W107" s="595"/>
      <c r="X107" s="595" t="s">
        <v>19</v>
      </c>
      <c r="Y107" s="595"/>
      <c r="Z107" s="595"/>
      <c r="AA107" s="595"/>
      <c r="AB107" s="595"/>
      <c r="AC107" s="595" t="s">
        <v>20</v>
      </c>
      <c r="AD107" s="595"/>
      <c r="AE107" s="595"/>
      <c r="AF107" s="595"/>
    </row>
    <row r="108" spans="1:54" s="7" customFormat="1" ht="15.6" customHeight="1" x14ac:dyDescent="0.15">
      <c r="A108" s="13"/>
      <c r="B108" s="827" t="s">
        <v>9</v>
      </c>
      <c r="C108" s="827"/>
      <c r="D108" s="750">
        <f>1+4+5+1+5</f>
        <v>16</v>
      </c>
      <c r="E108" s="750"/>
      <c r="F108" s="750"/>
      <c r="G108" s="750"/>
      <c r="H108" s="750"/>
      <c r="I108" s="750">
        <f>0+0+1+0+0</f>
        <v>1</v>
      </c>
      <c r="J108" s="750"/>
      <c r="K108" s="750"/>
      <c r="L108" s="750"/>
      <c r="M108" s="750"/>
      <c r="N108" s="750">
        <f>0+0+0+0+2</f>
        <v>2</v>
      </c>
      <c r="O108" s="750"/>
      <c r="P108" s="750"/>
      <c r="Q108" s="750"/>
      <c r="R108" s="750"/>
      <c r="S108" s="750">
        <f>3+3+0+3+3</f>
        <v>12</v>
      </c>
      <c r="T108" s="750"/>
      <c r="U108" s="750"/>
      <c r="V108" s="750"/>
      <c r="W108" s="750"/>
      <c r="X108" s="750">
        <f>0+6+1+2+1</f>
        <v>10</v>
      </c>
      <c r="Y108" s="750"/>
      <c r="Z108" s="750"/>
      <c r="AA108" s="750"/>
      <c r="AB108" s="750"/>
      <c r="AC108" s="750">
        <f>S108-X108</f>
        <v>2</v>
      </c>
      <c r="AD108" s="750"/>
      <c r="AE108" s="750"/>
      <c r="AF108" s="750"/>
      <c r="AY108" s="80"/>
      <c r="AZ108" s="80"/>
    </row>
    <row r="110" spans="1:54" ht="15.6" customHeight="1" x14ac:dyDescent="0.15">
      <c r="I110" s="820"/>
      <c r="J110" s="819"/>
      <c r="K110" s="819"/>
      <c r="L110" s="819"/>
      <c r="S110" s="820"/>
      <c r="T110" s="819"/>
      <c r="U110" s="819"/>
      <c r="V110" s="819"/>
      <c r="Z110" s="820"/>
      <c r="AA110" s="819"/>
      <c r="AB110" s="819"/>
      <c r="AC110" s="819"/>
    </row>
    <row r="111" spans="1:54" ht="15.6" customHeight="1" x14ac:dyDescent="0.15">
      <c r="D111" s="19"/>
      <c r="I111" s="819"/>
      <c r="J111" s="819"/>
      <c r="K111" s="819"/>
      <c r="L111" s="819"/>
      <c r="M111" s="819"/>
      <c r="N111" s="821"/>
      <c r="O111" s="821"/>
      <c r="P111" s="821"/>
      <c r="Q111" s="821"/>
      <c r="R111" s="819"/>
      <c r="S111" s="819"/>
      <c r="T111" s="819"/>
      <c r="U111" s="819"/>
      <c r="Z111" s="819"/>
      <c r="AA111" s="819"/>
      <c r="AB111" s="819"/>
      <c r="AC111" s="819"/>
    </row>
    <row r="112" spans="1:54" ht="15.6" customHeight="1" x14ac:dyDescent="0.15">
      <c r="I112" s="819"/>
      <c r="J112" s="819"/>
      <c r="K112" s="819"/>
      <c r="L112" s="819"/>
      <c r="M112" s="819"/>
      <c r="N112" s="819"/>
      <c r="O112" s="819"/>
      <c r="P112" s="819"/>
      <c r="Q112" s="819"/>
      <c r="R112" s="819"/>
      <c r="S112" s="819"/>
      <c r="T112" s="819"/>
      <c r="U112" s="819"/>
      <c r="Z112" s="819"/>
      <c r="AA112" s="819"/>
      <c r="AB112" s="819"/>
      <c r="AC112" s="819"/>
    </row>
    <row r="113" spans="4:29" ht="15.6" customHeight="1" x14ac:dyDescent="0.15">
      <c r="D113" s="19"/>
      <c r="I113" s="819"/>
      <c r="J113" s="819"/>
      <c r="K113" s="819"/>
      <c r="L113" s="819"/>
      <c r="M113" s="819"/>
      <c r="N113" s="819"/>
      <c r="O113" s="819"/>
      <c r="P113" s="819"/>
      <c r="Q113" s="819"/>
      <c r="R113" s="819"/>
      <c r="S113" s="819"/>
      <c r="T113" s="819"/>
      <c r="U113" s="819"/>
      <c r="Z113" s="819"/>
      <c r="AA113" s="819"/>
      <c r="AB113" s="819"/>
      <c r="AC113" s="819"/>
    </row>
  </sheetData>
  <mergeCells count="482">
    <mergeCell ref="I7:M7"/>
    <mergeCell ref="I8:M8"/>
    <mergeCell ref="V8:X8"/>
    <mergeCell ref="B11:H12"/>
    <mergeCell ref="I11:M12"/>
    <mergeCell ref="N11:R12"/>
    <mergeCell ref="S11:W12"/>
    <mergeCell ref="A1:AG2"/>
    <mergeCell ref="AA3:AG4"/>
    <mergeCell ref="AA5:AG5"/>
    <mergeCell ref="B6:D6"/>
    <mergeCell ref="F6:L6"/>
    <mergeCell ref="M6:O6"/>
    <mergeCell ref="AH13:AK13"/>
    <mergeCell ref="I14:M14"/>
    <mergeCell ref="N14:R14"/>
    <mergeCell ref="S14:W14"/>
    <mergeCell ref="X14:AA14"/>
    <mergeCell ref="AC14:AG14"/>
    <mergeCell ref="AH14:AK14"/>
    <mergeCell ref="Y11:AA11"/>
    <mergeCell ref="AC11:AG12"/>
    <mergeCell ref="Y12:AA12"/>
    <mergeCell ref="I13:M13"/>
    <mergeCell ref="N13:R13"/>
    <mergeCell ref="S13:W13"/>
    <mergeCell ref="X13:AA13"/>
    <mergeCell ref="AC13:AG13"/>
    <mergeCell ref="AH15:AK15"/>
    <mergeCell ref="B16:H16"/>
    <mergeCell ref="I16:M16"/>
    <mergeCell ref="N16:R16"/>
    <mergeCell ref="S16:W16"/>
    <mergeCell ref="X16:AA16"/>
    <mergeCell ref="AC16:AG16"/>
    <mergeCell ref="AH16:AK16"/>
    <mergeCell ref="B15:H15"/>
    <mergeCell ref="I15:M15"/>
    <mergeCell ref="N15:R15"/>
    <mergeCell ref="S15:W15"/>
    <mergeCell ref="X15:AA15"/>
    <mergeCell ref="AC15:AG15"/>
    <mergeCell ref="D19:H19"/>
    <mergeCell ref="I19:M19"/>
    <mergeCell ref="N19:R19"/>
    <mergeCell ref="B23:C23"/>
    <mergeCell ref="D23:H23"/>
    <mergeCell ref="I23:M23"/>
    <mergeCell ref="N23:R23"/>
    <mergeCell ref="AH17:AK17"/>
    <mergeCell ref="AX17:AY17"/>
    <mergeCell ref="B18:H18"/>
    <mergeCell ref="I18:M18"/>
    <mergeCell ref="N18:R18"/>
    <mergeCell ref="S18:W18"/>
    <mergeCell ref="X18:AA18"/>
    <mergeCell ref="AC18:AG18"/>
    <mergeCell ref="AH18:AK18"/>
    <mergeCell ref="B17:H17"/>
    <mergeCell ref="I17:M17"/>
    <mergeCell ref="N17:R17"/>
    <mergeCell ref="S17:W17"/>
    <mergeCell ref="X17:AA17"/>
    <mergeCell ref="AC17:AG17"/>
    <mergeCell ref="S23:X23"/>
    <mergeCell ref="Y23:AD23"/>
    <mergeCell ref="AE23:AG23"/>
    <mergeCell ref="B24:C24"/>
    <mergeCell ref="D24:H24"/>
    <mergeCell ref="I24:M24"/>
    <mergeCell ref="N24:R24"/>
    <mergeCell ref="S24:X24"/>
    <mergeCell ref="Y24:AD24"/>
    <mergeCell ref="AE24:AG24"/>
    <mergeCell ref="AC27:AD27"/>
    <mergeCell ref="AC30:AD30"/>
    <mergeCell ref="D28:G28"/>
    <mergeCell ref="L28:M28"/>
    <mergeCell ref="Q28:R28"/>
    <mergeCell ref="W28:X28"/>
    <mergeCell ref="AC28:AD28"/>
    <mergeCell ref="AC25:AD25"/>
    <mergeCell ref="D26:G26"/>
    <mergeCell ref="L26:M26"/>
    <mergeCell ref="Q26:R26"/>
    <mergeCell ref="W26:X26"/>
    <mergeCell ref="AC26:AD26"/>
    <mergeCell ref="D25:F25"/>
    <mergeCell ref="G25:H25"/>
    <mergeCell ref="L25:M25"/>
    <mergeCell ref="Q25:R25"/>
    <mergeCell ref="W25:X25"/>
    <mergeCell ref="D27:G27"/>
    <mergeCell ref="L27:M27"/>
    <mergeCell ref="Q27:R27"/>
    <mergeCell ref="W27:X27"/>
    <mergeCell ref="AJ38:AM38"/>
    <mergeCell ref="W34:X34"/>
    <mergeCell ref="AC34:AD34"/>
    <mergeCell ref="D35:G35"/>
    <mergeCell ref="W35:X35"/>
    <mergeCell ref="AC35:AD35"/>
    <mergeCell ref="B37:C37"/>
    <mergeCell ref="D37:H37"/>
    <mergeCell ref="I37:M37"/>
    <mergeCell ref="N37:R37"/>
    <mergeCell ref="S37:X37"/>
    <mergeCell ref="B25:C35"/>
    <mergeCell ref="Y37:AD37"/>
    <mergeCell ref="W31:X31"/>
    <mergeCell ref="AC31:AD31"/>
    <mergeCell ref="W32:X32"/>
    <mergeCell ref="AC32:AD32"/>
    <mergeCell ref="W33:X33"/>
    <mergeCell ref="AC33:AD33"/>
    <mergeCell ref="D29:G29"/>
    <mergeCell ref="Q29:R29"/>
    <mergeCell ref="W29:X29"/>
    <mergeCell ref="AC29:AD29"/>
    <mergeCell ref="W30:X30"/>
    <mergeCell ref="AC41:AD41"/>
    <mergeCell ref="AE37:AG37"/>
    <mergeCell ref="B38:C38"/>
    <mergeCell ref="D38:H38"/>
    <mergeCell ref="I38:M38"/>
    <mergeCell ref="N38:R38"/>
    <mergeCell ref="S38:X38"/>
    <mergeCell ref="Y38:AD38"/>
    <mergeCell ref="AE38:AG38"/>
    <mergeCell ref="W47:X47"/>
    <mergeCell ref="AC47:AD47"/>
    <mergeCell ref="D43:G43"/>
    <mergeCell ref="Q43:R43"/>
    <mergeCell ref="W43:X43"/>
    <mergeCell ref="AC43:AD43"/>
    <mergeCell ref="W44:X44"/>
    <mergeCell ref="AC44:AD44"/>
    <mergeCell ref="AJ39:AM39"/>
    <mergeCell ref="D40:G40"/>
    <mergeCell ref="AJ41:AM41"/>
    <mergeCell ref="D42:G42"/>
    <mergeCell ref="L42:M42"/>
    <mergeCell ref="Q42:R42"/>
    <mergeCell ref="W42:X42"/>
    <mergeCell ref="AC42:AD42"/>
    <mergeCell ref="L40:M40"/>
    <mergeCell ref="Q40:R40"/>
    <mergeCell ref="W40:X40"/>
    <mergeCell ref="AC40:AD40"/>
    <mergeCell ref="D41:G41"/>
    <mergeCell ref="L41:M41"/>
    <mergeCell ref="Q41:R41"/>
    <mergeCell ref="W41:X41"/>
    <mergeCell ref="W48:X48"/>
    <mergeCell ref="AC48:AD48"/>
    <mergeCell ref="D49:G49"/>
    <mergeCell ref="W49:X49"/>
    <mergeCell ref="AC49:AD49"/>
    <mergeCell ref="B56:E56"/>
    <mergeCell ref="F56:I56"/>
    <mergeCell ref="J56:M56"/>
    <mergeCell ref="N56:Q56"/>
    <mergeCell ref="R56:U56"/>
    <mergeCell ref="B39:C49"/>
    <mergeCell ref="D39:F39"/>
    <mergeCell ref="G39:H39"/>
    <mergeCell ref="L39:M39"/>
    <mergeCell ref="Q39:R39"/>
    <mergeCell ref="W39:X39"/>
    <mergeCell ref="AC39:AD39"/>
    <mergeCell ref="V56:Y56"/>
    <mergeCell ref="Z56:AC56"/>
    <mergeCell ref="AD56:AG56"/>
    <mergeCell ref="W45:X45"/>
    <mergeCell ref="AC45:AD45"/>
    <mergeCell ref="W46:X46"/>
    <mergeCell ref="AC46:AD46"/>
    <mergeCell ref="F57:I57"/>
    <mergeCell ref="J57:M57"/>
    <mergeCell ref="N57:Q57"/>
    <mergeCell ref="R57:U57"/>
    <mergeCell ref="V57:Y57"/>
    <mergeCell ref="Z57:AC57"/>
    <mergeCell ref="AQ58:AR58"/>
    <mergeCell ref="B59:E60"/>
    <mergeCell ref="F59:I59"/>
    <mergeCell ref="J59:M59"/>
    <mergeCell ref="N59:Q59"/>
    <mergeCell ref="R59:U59"/>
    <mergeCell ref="V59:Y59"/>
    <mergeCell ref="Z59:AC59"/>
    <mergeCell ref="AD59:AG59"/>
    <mergeCell ref="AQ59:AR59"/>
    <mergeCell ref="B57:E58"/>
    <mergeCell ref="AD60:AG60"/>
    <mergeCell ref="AQ60:AR60"/>
    <mergeCell ref="AD57:AG57"/>
    <mergeCell ref="F58:I58"/>
    <mergeCell ref="J58:M58"/>
    <mergeCell ref="N58:Q58"/>
    <mergeCell ref="R58:U58"/>
    <mergeCell ref="V58:Y58"/>
    <mergeCell ref="Z58:AC58"/>
    <mergeCell ref="AD58:AG58"/>
    <mergeCell ref="B61:E62"/>
    <mergeCell ref="F61:I61"/>
    <mergeCell ref="J61:M61"/>
    <mergeCell ref="N61:Q61"/>
    <mergeCell ref="R61:U61"/>
    <mergeCell ref="V61:Y61"/>
    <mergeCell ref="Z61:AC61"/>
    <mergeCell ref="AD61:AG61"/>
    <mergeCell ref="F60:I60"/>
    <mergeCell ref="J60:M60"/>
    <mergeCell ref="N60:Q60"/>
    <mergeCell ref="R60:U60"/>
    <mergeCell ref="V60:Y60"/>
    <mergeCell ref="Z60:AC60"/>
    <mergeCell ref="B65:D66"/>
    <mergeCell ref="E65:G66"/>
    <mergeCell ref="H65:J66"/>
    <mergeCell ref="K65:L66"/>
    <mergeCell ref="M65:N66"/>
    <mergeCell ref="O65:Q66"/>
    <mergeCell ref="R65:S66"/>
    <mergeCell ref="T65:U66"/>
    <mergeCell ref="AQ61:AR61"/>
    <mergeCell ref="F62:I62"/>
    <mergeCell ref="J62:M62"/>
    <mergeCell ref="N62:Q62"/>
    <mergeCell ref="R62:U62"/>
    <mergeCell ref="V62:Y62"/>
    <mergeCell ref="Z62:AC62"/>
    <mergeCell ref="AD62:AG62"/>
    <mergeCell ref="AQ62:AR62"/>
    <mergeCell ref="V65:W66"/>
    <mergeCell ref="X65:Y66"/>
    <mergeCell ref="Z65:AB66"/>
    <mergeCell ref="AC65:AD66"/>
    <mergeCell ref="AE65:AG66"/>
    <mergeCell ref="AQ65:AR65"/>
    <mergeCell ref="AQ66:AR66"/>
    <mergeCell ref="AQ63:AR63"/>
    <mergeCell ref="AQ64:AR64"/>
    <mergeCell ref="B69:D70"/>
    <mergeCell ref="E69:G70"/>
    <mergeCell ref="H69:J70"/>
    <mergeCell ref="K69:L70"/>
    <mergeCell ref="M69:N70"/>
    <mergeCell ref="O69:Q70"/>
    <mergeCell ref="R69:S70"/>
    <mergeCell ref="R67:S68"/>
    <mergeCell ref="T67:U68"/>
    <mergeCell ref="B67:D68"/>
    <mergeCell ref="E67:G68"/>
    <mergeCell ref="H67:J68"/>
    <mergeCell ref="K67:L68"/>
    <mergeCell ref="M67:N68"/>
    <mergeCell ref="O67:Q68"/>
    <mergeCell ref="T69:U70"/>
    <mergeCell ref="V69:W70"/>
    <mergeCell ref="X69:Y70"/>
    <mergeCell ref="Z69:AB70"/>
    <mergeCell ref="AC69:AD70"/>
    <mergeCell ref="AE69:AG70"/>
    <mergeCell ref="AE67:AG68"/>
    <mergeCell ref="AQ67:AR67"/>
    <mergeCell ref="AQ68:AR68"/>
    <mergeCell ref="V67:W68"/>
    <mergeCell ref="X67:Y68"/>
    <mergeCell ref="Z67:AB68"/>
    <mergeCell ref="AC67:AD68"/>
    <mergeCell ref="AE71:AG72"/>
    <mergeCell ref="B73:D73"/>
    <mergeCell ref="E73:G73"/>
    <mergeCell ref="H73:J73"/>
    <mergeCell ref="K73:L73"/>
    <mergeCell ref="M73:N73"/>
    <mergeCell ref="O73:Q73"/>
    <mergeCell ref="R73:S73"/>
    <mergeCell ref="T73:U73"/>
    <mergeCell ref="V73:W73"/>
    <mergeCell ref="R71:S72"/>
    <mergeCell ref="T71:U72"/>
    <mergeCell ref="V71:W72"/>
    <mergeCell ref="X71:Y72"/>
    <mergeCell ref="Z71:AB72"/>
    <mergeCell ref="AC71:AD72"/>
    <mergeCell ref="B71:D72"/>
    <mergeCell ref="E71:G72"/>
    <mergeCell ref="H71:J72"/>
    <mergeCell ref="K71:L72"/>
    <mergeCell ref="M71:N72"/>
    <mergeCell ref="O71:Q72"/>
    <mergeCell ref="X73:Y73"/>
    <mergeCell ref="Z73:AB73"/>
    <mergeCell ref="AC73:AD73"/>
    <mergeCell ref="AE73:AG73"/>
    <mergeCell ref="B76:G77"/>
    <mergeCell ref="H76:Y76"/>
    <mergeCell ref="Z76:AG77"/>
    <mergeCell ref="H77:M77"/>
    <mergeCell ref="N77:S77"/>
    <mergeCell ref="T77:Y77"/>
    <mergeCell ref="B78:G78"/>
    <mergeCell ref="H78:M78"/>
    <mergeCell ref="N78:S78"/>
    <mergeCell ref="T78:Y78"/>
    <mergeCell ref="Z78:AG78"/>
    <mergeCell ref="B79:G79"/>
    <mergeCell ref="H79:M79"/>
    <mergeCell ref="N79:S79"/>
    <mergeCell ref="T79:Y79"/>
    <mergeCell ref="Z79:AG79"/>
    <mergeCell ref="B80:G80"/>
    <mergeCell ref="H80:M80"/>
    <mergeCell ref="N80:S80"/>
    <mergeCell ref="T80:Y80"/>
    <mergeCell ref="Z80:AG80"/>
    <mergeCell ref="B81:G81"/>
    <mergeCell ref="H81:M81"/>
    <mergeCell ref="N81:S81"/>
    <mergeCell ref="T81:Y81"/>
    <mergeCell ref="Z81:AG81"/>
    <mergeCell ref="B82:G82"/>
    <mergeCell ref="H82:M82"/>
    <mergeCell ref="N82:S82"/>
    <mergeCell ref="T82:Y82"/>
    <mergeCell ref="Z82:AG82"/>
    <mergeCell ref="B85:F85"/>
    <mergeCell ref="G85:K85"/>
    <mergeCell ref="L85:P85"/>
    <mergeCell ref="Q85:U85"/>
    <mergeCell ref="V85:Z85"/>
    <mergeCell ref="AI86:AK86"/>
    <mergeCell ref="B87:F87"/>
    <mergeCell ref="G87:K87"/>
    <mergeCell ref="L87:P87"/>
    <mergeCell ref="Q87:U87"/>
    <mergeCell ref="V87:Z87"/>
    <mergeCell ref="AA87:AE87"/>
    <mergeCell ref="AA85:AE85"/>
    <mergeCell ref="B86:F86"/>
    <mergeCell ref="G86:K86"/>
    <mergeCell ref="L86:P86"/>
    <mergeCell ref="Q86:U86"/>
    <mergeCell ref="V86:Z86"/>
    <mergeCell ref="AA86:AE86"/>
    <mergeCell ref="AD91:AG91"/>
    <mergeCell ref="B92:D96"/>
    <mergeCell ref="E92:I92"/>
    <mergeCell ref="J92:M92"/>
    <mergeCell ref="N92:Q92"/>
    <mergeCell ref="R92:U92"/>
    <mergeCell ref="V92:Y92"/>
    <mergeCell ref="Z92:AC92"/>
    <mergeCell ref="AD92:AG92"/>
    <mergeCell ref="E94:I94"/>
    <mergeCell ref="B90:D91"/>
    <mergeCell ref="E90:I91"/>
    <mergeCell ref="J90:Q90"/>
    <mergeCell ref="R90:Y90"/>
    <mergeCell ref="Z90:AG90"/>
    <mergeCell ref="J91:M91"/>
    <mergeCell ref="N91:Q91"/>
    <mergeCell ref="R91:U91"/>
    <mergeCell ref="V91:Y91"/>
    <mergeCell ref="Z91:AC91"/>
    <mergeCell ref="AD96:AG96"/>
    <mergeCell ref="AY92:AZ92"/>
    <mergeCell ref="E93:I93"/>
    <mergeCell ref="J93:M93"/>
    <mergeCell ref="N93:Q93"/>
    <mergeCell ref="R93:U93"/>
    <mergeCell ref="V93:Y93"/>
    <mergeCell ref="Z93:AC93"/>
    <mergeCell ref="AD93:AG93"/>
    <mergeCell ref="AY93:AZ93"/>
    <mergeCell ref="AY94:AZ94"/>
    <mergeCell ref="E95:I95"/>
    <mergeCell ref="J95:M95"/>
    <mergeCell ref="N95:Q95"/>
    <mergeCell ref="R95:U95"/>
    <mergeCell ref="V95:Y95"/>
    <mergeCell ref="Z95:AC95"/>
    <mergeCell ref="AD95:AG95"/>
    <mergeCell ref="AK95:AM95"/>
    <mergeCell ref="AY95:AZ95"/>
    <mergeCell ref="J94:M94"/>
    <mergeCell ref="N94:Q94"/>
    <mergeCell ref="R94:U94"/>
    <mergeCell ref="V94:Y94"/>
    <mergeCell ref="Z94:AC94"/>
    <mergeCell ref="AD94:AG94"/>
    <mergeCell ref="AJ96:AL96"/>
    <mergeCell ref="AY96:AZ96"/>
    <mergeCell ref="BA96:BB96"/>
    <mergeCell ref="B97:D100"/>
    <mergeCell ref="E97:I97"/>
    <mergeCell ref="J97:M97"/>
    <mergeCell ref="N97:Q97"/>
    <mergeCell ref="R97:U97"/>
    <mergeCell ref="V97:Y97"/>
    <mergeCell ref="E96:I96"/>
    <mergeCell ref="J96:M96"/>
    <mergeCell ref="N96:Q96"/>
    <mergeCell ref="R96:U96"/>
    <mergeCell ref="V96:Y96"/>
    <mergeCell ref="Z96:AC96"/>
    <mergeCell ref="Z97:AC97"/>
    <mergeCell ref="AD97:AG97"/>
    <mergeCell ref="AK97:AM97"/>
    <mergeCell ref="AY97:AZ97"/>
    <mergeCell ref="E98:I98"/>
    <mergeCell ref="J98:M98"/>
    <mergeCell ref="N98:Q98"/>
    <mergeCell ref="R98:U98"/>
    <mergeCell ref="V98:Y98"/>
    <mergeCell ref="Z98:AC98"/>
    <mergeCell ref="AD98:AG98"/>
    <mergeCell ref="AY98:AZ98"/>
    <mergeCell ref="E99:I99"/>
    <mergeCell ref="J99:M99"/>
    <mergeCell ref="N99:Q99"/>
    <mergeCell ref="R99:U99"/>
    <mergeCell ref="V99:Y99"/>
    <mergeCell ref="Z99:AC99"/>
    <mergeCell ref="AD99:AG99"/>
    <mergeCell ref="AY99:AZ99"/>
    <mergeCell ref="AJ100:AL100"/>
    <mergeCell ref="AY100:AZ100"/>
    <mergeCell ref="BA100:BB100"/>
    <mergeCell ref="B104:C104"/>
    <mergeCell ref="D104:H104"/>
    <mergeCell ref="I104:M104"/>
    <mergeCell ref="N104:R104"/>
    <mergeCell ref="S104:W104"/>
    <mergeCell ref="X104:AB104"/>
    <mergeCell ref="E100:I100"/>
    <mergeCell ref="J100:M100"/>
    <mergeCell ref="N100:Q100"/>
    <mergeCell ref="R100:U100"/>
    <mergeCell ref="V100:Y100"/>
    <mergeCell ref="Z100:AC100"/>
    <mergeCell ref="AC104:AF104"/>
    <mergeCell ref="B105:C105"/>
    <mergeCell ref="D105:H105"/>
    <mergeCell ref="I105:M105"/>
    <mergeCell ref="N105:R105"/>
    <mergeCell ref="S105:W105"/>
    <mergeCell ref="X105:AB105"/>
    <mergeCell ref="AC105:AF105"/>
    <mergeCell ref="AD100:AG100"/>
    <mergeCell ref="AC107:AF107"/>
    <mergeCell ref="B108:C108"/>
    <mergeCell ref="D108:H108"/>
    <mergeCell ref="I108:M108"/>
    <mergeCell ref="N108:R108"/>
    <mergeCell ref="S108:W108"/>
    <mergeCell ref="X108:AB108"/>
    <mergeCell ref="AC108:AF108"/>
    <mergeCell ref="B107:C107"/>
    <mergeCell ref="D107:H107"/>
    <mergeCell ref="I107:M107"/>
    <mergeCell ref="N107:R107"/>
    <mergeCell ref="S107:W107"/>
    <mergeCell ref="X107:AB107"/>
    <mergeCell ref="I112:M112"/>
    <mergeCell ref="N112:Q112"/>
    <mergeCell ref="R112:U112"/>
    <mergeCell ref="Z112:AC112"/>
    <mergeCell ref="I113:M113"/>
    <mergeCell ref="N113:Q113"/>
    <mergeCell ref="R113:U113"/>
    <mergeCell ref="Z113:AC113"/>
    <mergeCell ref="I110:L110"/>
    <mergeCell ref="S110:V110"/>
    <mergeCell ref="Z110:AC110"/>
    <mergeCell ref="I111:M111"/>
    <mergeCell ref="N111:Q111"/>
    <mergeCell ref="R111:U111"/>
    <mergeCell ref="Z111:AC111"/>
  </mergeCells>
  <phoneticPr fontId="9"/>
  <pageMargins left="0.59055118110236227" right="0.39370078740157483" top="0.39370078740157483" bottom="0.39370078740157483" header="0" footer="0"/>
  <pageSetup paperSize="9" scale="99" orientation="portrait" copies="9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BT113"/>
  <sheetViews>
    <sheetView view="pageBreakPreview" zoomScaleNormal="100" zoomScaleSheetLayoutView="100" workbookViewId="0">
      <selection activeCell="AA5" sqref="AA5:AG5"/>
    </sheetView>
  </sheetViews>
  <sheetFormatPr defaultColWidth="2.625" defaultRowHeight="15.6" customHeight="1" x14ac:dyDescent="0.15"/>
  <cols>
    <col min="1" max="1" width="2.625" style="69"/>
    <col min="2" max="29" width="2.625" style="4"/>
    <col min="30" max="30" width="2.625" style="4" customWidth="1"/>
    <col min="31" max="33" width="2.625" style="4"/>
    <col min="34" max="35" width="2.625" style="7"/>
    <col min="36" max="36" width="8.5" style="7" bestFit="1" customWidth="1"/>
    <col min="37" max="37" width="3.5" style="7" bestFit="1" customWidth="1"/>
    <col min="38" max="41" width="2.625" style="7"/>
    <col min="42" max="42" width="2.625" style="4"/>
    <col min="43" max="43" width="3.5" style="4" bestFit="1" customWidth="1"/>
    <col min="44" max="50" width="2.625" style="4"/>
    <col min="51" max="52" width="2.625" style="79"/>
    <col min="53" max="16384" width="2.625" style="4"/>
  </cols>
  <sheetData>
    <row r="1" spans="1:52" ht="15.6" customHeight="1" x14ac:dyDescent="0.15">
      <c r="A1" s="562" t="s">
        <v>6</v>
      </c>
      <c r="B1" s="562"/>
      <c r="C1" s="562"/>
      <c r="D1" s="562"/>
      <c r="E1" s="562"/>
      <c r="F1" s="562"/>
      <c r="G1" s="562"/>
      <c r="H1" s="562"/>
      <c r="I1" s="562"/>
      <c r="J1" s="562"/>
      <c r="K1" s="562"/>
      <c r="L1" s="562"/>
      <c r="M1" s="562"/>
      <c r="N1" s="562"/>
      <c r="O1" s="562"/>
      <c r="P1" s="562"/>
      <c r="Q1" s="562"/>
      <c r="R1" s="562"/>
      <c r="S1" s="562"/>
      <c r="T1" s="562"/>
      <c r="U1" s="562"/>
      <c r="V1" s="562"/>
      <c r="W1" s="562"/>
      <c r="X1" s="562"/>
      <c r="Y1" s="562"/>
      <c r="Z1" s="562"/>
      <c r="AA1" s="562"/>
      <c r="AB1" s="562"/>
      <c r="AC1" s="562"/>
      <c r="AD1" s="562"/>
      <c r="AE1" s="562"/>
      <c r="AF1" s="562"/>
      <c r="AG1" s="562"/>
      <c r="AH1" s="20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</row>
    <row r="2" spans="1:52" ht="15.6" customHeight="1" x14ac:dyDescent="0.15">
      <c r="A2" s="562"/>
      <c r="B2" s="562"/>
      <c r="C2" s="562"/>
      <c r="D2" s="562"/>
      <c r="E2" s="562"/>
      <c r="F2" s="562"/>
      <c r="G2" s="562"/>
      <c r="H2" s="562"/>
      <c r="I2" s="562"/>
      <c r="J2" s="562"/>
      <c r="K2" s="562"/>
      <c r="L2" s="562"/>
      <c r="M2" s="562"/>
      <c r="N2" s="562"/>
      <c r="O2" s="562"/>
      <c r="P2" s="562"/>
      <c r="Q2" s="562"/>
      <c r="R2" s="562"/>
      <c r="S2" s="562"/>
      <c r="T2" s="562"/>
      <c r="U2" s="562"/>
      <c r="V2" s="562"/>
      <c r="W2" s="562"/>
      <c r="X2" s="562"/>
      <c r="Y2" s="562"/>
      <c r="Z2" s="562"/>
      <c r="AA2" s="562"/>
      <c r="AB2" s="562"/>
      <c r="AC2" s="562"/>
      <c r="AD2" s="562"/>
      <c r="AE2" s="562"/>
      <c r="AF2" s="562"/>
      <c r="AG2" s="562"/>
      <c r="AH2" s="20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</row>
    <row r="3" spans="1:52" s="3" customFormat="1" ht="15.6" customHeight="1" x14ac:dyDescent="0.15">
      <c r="A3" s="49"/>
      <c r="B3" s="41"/>
      <c r="C3" s="42"/>
      <c r="D3" s="42"/>
      <c r="E3" s="42"/>
      <c r="F3" s="42"/>
      <c r="G3" s="42"/>
      <c r="H3" s="42"/>
      <c r="I3" s="42"/>
      <c r="J3" s="42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33"/>
      <c r="W3" s="33"/>
      <c r="X3" s="33"/>
      <c r="Y3" s="33"/>
      <c r="Z3" s="33"/>
      <c r="AA3" s="563" t="s">
        <v>107</v>
      </c>
      <c r="AB3" s="563"/>
      <c r="AC3" s="563"/>
      <c r="AD3" s="563"/>
      <c r="AE3" s="563"/>
      <c r="AF3" s="563"/>
      <c r="AG3" s="563"/>
      <c r="AH3" s="21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Y3" s="79"/>
      <c r="AZ3" s="79"/>
    </row>
    <row r="4" spans="1:52" s="3" customFormat="1" ht="15.6" customHeight="1" x14ac:dyDescent="0.15">
      <c r="A4" s="49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33"/>
      <c r="W4" s="33"/>
      <c r="X4" s="33"/>
      <c r="Y4" s="33"/>
      <c r="Z4" s="33"/>
      <c r="AA4" s="563"/>
      <c r="AB4" s="563"/>
      <c r="AC4" s="563"/>
      <c r="AD4" s="563"/>
      <c r="AE4" s="563"/>
      <c r="AF4" s="563"/>
      <c r="AG4" s="563"/>
      <c r="AH4" s="21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Y4" s="79"/>
      <c r="AZ4" s="79"/>
    </row>
    <row r="5" spans="1:52" s="3" customFormat="1" ht="15.6" customHeight="1" x14ac:dyDescent="0.15">
      <c r="A5" s="49" t="s">
        <v>66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21"/>
      <c r="W5" s="21"/>
      <c r="X5" s="21"/>
      <c r="Y5" s="21"/>
      <c r="Z5" s="21"/>
      <c r="AA5" s="891" t="s">
        <v>236</v>
      </c>
      <c r="AB5" s="564"/>
      <c r="AC5" s="564"/>
      <c r="AD5" s="564"/>
      <c r="AE5" s="564"/>
      <c r="AF5" s="564"/>
      <c r="AG5" s="564"/>
      <c r="AH5" s="21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Y5" s="79"/>
      <c r="AZ5" s="79"/>
    </row>
    <row r="6" spans="1:52" s="3" customFormat="1" ht="15.6" customHeight="1" x14ac:dyDescent="0.15">
      <c r="A6" s="49" t="s">
        <v>7</v>
      </c>
      <c r="B6" s="828" t="s">
        <v>108</v>
      </c>
      <c r="C6" s="828"/>
      <c r="D6" s="828"/>
      <c r="E6" s="35" t="s">
        <v>109</v>
      </c>
      <c r="F6" s="566">
        <v>44774</v>
      </c>
      <c r="G6" s="566"/>
      <c r="H6" s="566"/>
      <c r="I6" s="566"/>
      <c r="J6" s="566"/>
      <c r="K6" s="566"/>
      <c r="L6" s="566"/>
      <c r="M6" s="826" t="s">
        <v>111</v>
      </c>
      <c r="N6" s="826"/>
      <c r="O6" s="826"/>
      <c r="P6" s="16"/>
      <c r="Q6" s="16"/>
      <c r="R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Y6" s="79"/>
      <c r="AZ6" s="79"/>
    </row>
    <row r="7" spans="1:52" s="3" customFormat="1" ht="15.6" customHeight="1" x14ac:dyDescent="0.15">
      <c r="A7" s="49"/>
      <c r="B7" s="16"/>
      <c r="C7" s="16" t="s">
        <v>65</v>
      </c>
      <c r="D7" s="15"/>
      <c r="E7" s="16"/>
      <c r="F7" s="49"/>
      <c r="G7" s="49"/>
      <c r="H7" s="49"/>
      <c r="I7" s="824">
        <v>224055</v>
      </c>
      <c r="J7" s="824"/>
      <c r="K7" s="824"/>
      <c r="L7" s="824"/>
      <c r="M7" s="824"/>
      <c r="N7" s="49" t="s">
        <v>8</v>
      </c>
      <c r="O7" s="49"/>
      <c r="P7" s="260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Y7" s="79"/>
      <c r="AZ7" s="79"/>
    </row>
    <row r="8" spans="1:52" s="3" customFormat="1" ht="15.6" customHeight="1" x14ac:dyDescent="0.15">
      <c r="A8" s="49"/>
      <c r="B8" s="16"/>
      <c r="C8" s="16" t="s">
        <v>9</v>
      </c>
      <c r="D8" s="16"/>
      <c r="E8" s="16"/>
      <c r="F8" s="49"/>
      <c r="G8" s="49"/>
      <c r="H8" s="49"/>
      <c r="I8" s="825">
        <v>103203</v>
      </c>
      <c r="J8" s="824"/>
      <c r="K8" s="824"/>
      <c r="L8" s="824"/>
      <c r="M8" s="824"/>
      <c r="N8" s="49" t="s">
        <v>10</v>
      </c>
      <c r="O8" s="49"/>
      <c r="P8" s="16" t="s">
        <v>11</v>
      </c>
      <c r="Q8" s="16"/>
      <c r="R8" s="16"/>
      <c r="S8" s="16"/>
      <c r="T8" s="16"/>
      <c r="U8" s="16"/>
      <c r="V8" s="548">
        <f>I7/I8</f>
        <v>2.1710124705677161</v>
      </c>
      <c r="W8" s="548"/>
      <c r="X8" s="548"/>
      <c r="Y8" s="16" t="s">
        <v>12</v>
      </c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Y8" s="79"/>
      <c r="AZ8" s="79"/>
    </row>
    <row r="9" spans="1:52" s="3" customFormat="1" ht="15.6" customHeight="1" x14ac:dyDescent="0.15">
      <c r="A9" s="49"/>
      <c r="B9" s="16"/>
      <c r="C9" s="16"/>
      <c r="D9" s="16"/>
      <c r="E9" s="16"/>
      <c r="F9" s="16"/>
      <c r="G9" s="16"/>
      <c r="H9" s="16"/>
      <c r="I9" s="233"/>
      <c r="J9" s="232"/>
      <c r="K9" s="232"/>
      <c r="L9" s="232"/>
      <c r="M9" s="232"/>
      <c r="N9" s="16"/>
      <c r="O9" s="16"/>
      <c r="P9" s="16"/>
      <c r="Q9" s="16"/>
      <c r="R9" s="16"/>
      <c r="S9" s="16"/>
      <c r="T9" s="16"/>
      <c r="U9" s="16"/>
      <c r="V9" s="234"/>
      <c r="W9" s="234"/>
      <c r="X9" s="234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Y9" s="79"/>
      <c r="AZ9" s="79"/>
    </row>
    <row r="10" spans="1:52" s="3" customFormat="1" ht="15.6" customHeight="1" x14ac:dyDescent="0.15">
      <c r="A10" s="49" t="s">
        <v>5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Y10" s="79"/>
      <c r="AZ10" s="79"/>
    </row>
    <row r="11" spans="1:52" s="3" customFormat="1" ht="15.6" customHeight="1" x14ac:dyDescent="0.15">
      <c r="A11" s="49"/>
      <c r="B11" s="549" t="s">
        <v>67</v>
      </c>
      <c r="C11" s="550"/>
      <c r="D11" s="550"/>
      <c r="E11" s="550"/>
      <c r="F11" s="550"/>
      <c r="G11" s="550"/>
      <c r="H11" s="551"/>
      <c r="I11" s="555" t="s">
        <v>130</v>
      </c>
      <c r="J11" s="556"/>
      <c r="K11" s="556"/>
      <c r="L11" s="556"/>
      <c r="M11" s="557"/>
      <c r="N11" s="555" t="s">
        <v>131</v>
      </c>
      <c r="O11" s="556"/>
      <c r="P11" s="556"/>
      <c r="Q11" s="556"/>
      <c r="R11" s="557"/>
      <c r="S11" s="561" t="s">
        <v>13</v>
      </c>
      <c r="T11" s="556"/>
      <c r="U11" s="556"/>
      <c r="V11" s="556"/>
      <c r="W11" s="557"/>
      <c r="X11" s="29"/>
      <c r="Y11" s="581" t="s">
        <v>68</v>
      </c>
      <c r="Z11" s="581"/>
      <c r="AA11" s="581"/>
      <c r="AB11" s="30"/>
      <c r="AC11" s="561" t="s">
        <v>81</v>
      </c>
      <c r="AD11" s="556"/>
      <c r="AE11" s="556"/>
      <c r="AF11" s="556"/>
      <c r="AG11" s="557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Y11" s="79"/>
      <c r="AZ11" s="79"/>
    </row>
    <row r="12" spans="1:52" s="3" customFormat="1" ht="15.6" customHeight="1" x14ac:dyDescent="0.15">
      <c r="A12" s="49"/>
      <c r="B12" s="552"/>
      <c r="C12" s="553"/>
      <c r="D12" s="553"/>
      <c r="E12" s="553"/>
      <c r="F12" s="553"/>
      <c r="G12" s="553"/>
      <c r="H12" s="554"/>
      <c r="I12" s="558"/>
      <c r="J12" s="559"/>
      <c r="K12" s="559"/>
      <c r="L12" s="559"/>
      <c r="M12" s="560"/>
      <c r="N12" s="558"/>
      <c r="O12" s="559"/>
      <c r="P12" s="559"/>
      <c r="Q12" s="559"/>
      <c r="R12" s="560"/>
      <c r="S12" s="558"/>
      <c r="T12" s="559"/>
      <c r="U12" s="559"/>
      <c r="V12" s="559"/>
      <c r="W12" s="560"/>
      <c r="X12" s="31"/>
      <c r="Y12" s="581" t="s">
        <v>69</v>
      </c>
      <c r="Z12" s="581"/>
      <c r="AA12" s="581"/>
      <c r="AB12" s="32"/>
      <c r="AC12" s="558"/>
      <c r="AD12" s="559"/>
      <c r="AE12" s="559"/>
      <c r="AF12" s="559"/>
      <c r="AG12" s="560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Y12" s="79"/>
      <c r="AZ12" s="79"/>
    </row>
    <row r="13" spans="1:52" s="3" customFormat="1" ht="15.6" customHeight="1" x14ac:dyDescent="0.15">
      <c r="A13" s="49"/>
      <c r="B13" s="249" t="s">
        <v>126</v>
      </c>
      <c r="C13" s="250"/>
      <c r="D13" s="250"/>
      <c r="E13" s="250"/>
      <c r="F13" s="250"/>
      <c r="G13" s="250"/>
      <c r="H13" s="251"/>
      <c r="I13" s="570">
        <v>2329</v>
      </c>
      <c r="J13" s="571"/>
      <c r="K13" s="571"/>
      <c r="L13" s="571"/>
      <c r="M13" s="572"/>
      <c r="N13" s="570">
        <v>3076</v>
      </c>
      <c r="O13" s="571"/>
      <c r="P13" s="571"/>
      <c r="Q13" s="571"/>
      <c r="R13" s="572"/>
      <c r="S13" s="570">
        <v>28</v>
      </c>
      <c r="T13" s="571"/>
      <c r="U13" s="571"/>
      <c r="V13" s="571"/>
      <c r="W13" s="572"/>
      <c r="X13" s="582">
        <f t="shared" ref="X13:X16" si="0">I13/S13</f>
        <v>83.178571428571431</v>
      </c>
      <c r="Y13" s="583"/>
      <c r="Z13" s="583"/>
      <c r="AA13" s="583"/>
      <c r="AB13" s="34"/>
      <c r="AC13" s="584">
        <v>13.65933373002833</v>
      </c>
      <c r="AD13" s="585"/>
      <c r="AE13" s="585"/>
      <c r="AF13" s="585"/>
      <c r="AG13" s="586"/>
      <c r="AH13" s="568"/>
      <c r="AI13" s="569"/>
      <c r="AJ13" s="569"/>
      <c r="AK13" s="569"/>
      <c r="AL13" s="16"/>
      <c r="AM13" s="18"/>
      <c r="AN13" s="16"/>
      <c r="AO13" s="16"/>
      <c r="AP13" s="16"/>
      <c r="AQ13" s="16"/>
      <c r="AR13" s="16"/>
      <c r="AS13" s="16"/>
      <c r="AT13" s="16"/>
      <c r="AU13" s="16"/>
      <c r="AY13" s="79"/>
      <c r="AZ13" s="79"/>
    </row>
    <row r="14" spans="1:52" s="3" customFormat="1" ht="15.6" customHeight="1" x14ac:dyDescent="0.15">
      <c r="A14" s="49"/>
      <c r="B14" s="249" t="s">
        <v>129</v>
      </c>
      <c r="C14" s="250"/>
      <c r="D14" s="250"/>
      <c r="E14" s="250"/>
      <c r="F14" s="250"/>
      <c r="G14" s="250"/>
      <c r="H14" s="251"/>
      <c r="I14" s="570">
        <v>2409</v>
      </c>
      <c r="J14" s="571"/>
      <c r="K14" s="571"/>
      <c r="L14" s="571"/>
      <c r="M14" s="572"/>
      <c r="N14" s="570">
        <v>3167</v>
      </c>
      <c r="O14" s="571"/>
      <c r="P14" s="571"/>
      <c r="Q14" s="571"/>
      <c r="R14" s="572"/>
      <c r="S14" s="573">
        <v>28</v>
      </c>
      <c r="T14" s="574"/>
      <c r="U14" s="574"/>
      <c r="V14" s="574"/>
      <c r="W14" s="575"/>
      <c r="X14" s="576">
        <f>I14/S14</f>
        <v>86.035714285714292</v>
      </c>
      <c r="Y14" s="577"/>
      <c r="Z14" s="577"/>
      <c r="AA14" s="577"/>
      <c r="AB14" s="23"/>
      <c r="AC14" s="578">
        <v>14.09717121808996</v>
      </c>
      <c r="AD14" s="579"/>
      <c r="AE14" s="579"/>
      <c r="AF14" s="579"/>
      <c r="AG14" s="580"/>
      <c r="AH14" s="568"/>
      <c r="AI14" s="569"/>
      <c r="AJ14" s="569"/>
      <c r="AK14" s="569"/>
      <c r="AL14" s="16"/>
      <c r="AM14" s="18"/>
      <c r="AN14" s="16"/>
      <c r="AO14" s="16"/>
      <c r="AP14" s="16"/>
      <c r="AQ14" s="16"/>
      <c r="AR14" s="16"/>
      <c r="AS14" s="16"/>
      <c r="AT14" s="16"/>
      <c r="AU14" s="16"/>
      <c r="AY14" s="79"/>
      <c r="AZ14" s="79"/>
    </row>
    <row r="15" spans="1:52" s="3" customFormat="1" ht="15.6" customHeight="1" x14ac:dyDescent="0.15">
      <c r="A15" s="49"/>
      <c r="B15" s="589" t="s">
        <v>144</v>
      </c>
      <c r="C15" s="589"/>
      <c r="D15" s="589"/>
      <c r="E15" s="589"/>
      <c r="F15" s="589"/>
      <c r="G15" s="589"/>
      <c r="H15" s="589"/>
      <c r="I15" s="570">
        <v>2478</v>
      </c>
      <c r="J15" s="571"/>
      <c r="K15" s="571"/>
      <c r="L15" s="571"/>
      <c r="M15" s="572"/>
      <c r="N15" s="570">
        <v>3222</v>
      </c>
      <c r="O15" s="571"/>
      <c r="P15" s="571"/>
      <c r="Q15" s="571"/>
      <c r="R15" s="572"/>
      <c r="S15" s="570">
        <v>29</v>
      </c>
      <c r="T15" s="571"/>
      <c r="U15" s="571"/>
      <c r="V15" s="571"/>
      <c r="W15" s="572"/>
      <c r="X15" s="576">
        <f t="shared" si="0"/>
        <v>85.448275862068968</v>
      </c>
      <c r="Y15" s="577"/>
      <c r="Z15" s="577"/>
      <c r="AA15" s="577"/>
      <c r="AB15" s="23"/>
      <c r="AC15" s="578">
        <v>14.375008365344719</v>
      </c>
      <c r="AD15" s="579"/>
      <c r="AE15" s="579"/>
      <c r="AF15" s="579"/>
      <c r="AG15" s="580"/>
      <c r="AH15" s="587"/>
      <c r="AI15" s="588"/>
      <c r="AJ15" s="588"/>
      <c r="AK15" s="588"/>
      <c r="AL15" s="14"/>
      <c r="AM15" s="18"/>
      <c r="AN15" s="14"/>
      <c r="AO15" s="16"/>
      <c r="AP15" s="16"/>
      <c r="AQ15" s="16"/>
      <c r="AR15" s="16"/>
      <c r="AS15" s="16"/>
      <c r="AT15" s="16"/>
      <c r="AU15" s="16"/>
      <c r="AY15" s="79"/>
      <c r="AZ15" s="79"/>
    </row>
    <row r="16" spans="1:52" s="3" customFormat="1" ht="15.6" customHeight="1" x14ac:dyDescent="0.15">
      <c r="A16" s="49"/>
      <c r="B16" s="589" t="s">
        <v>148</v>
      </c>
      <c r="C16" s="589"/>
      <c r="D16" s="589"/>
      <c r="E16" s="589"/>
      <c r="F16" s="589"/>
      <c r="G16" s="589"/>
      <c r="H16" s="589"/>
      <c r="I16" s="570">
        <v>2523</v>
      </c>
      <c r="J16" s="571"/>
      <c r="K16" s="571"/>
      <c r="L16" s="571"/>
      <c r="M16" s="572"/>
      <c r="N16" s="570">
        <v>3258</v>
      </c>
      <c r="O16" s="571"/>
      <c r="P16" s="571"/>
      <c r="Q16" s="571"/>
      <c r="R16" s="572"/>
      <c r="S16" s="570">
        <v>30</v>
      </c>
      <c r="T16" s="571"/>
      <c r="U16" s="571"/>
      <c r="V16" s="571"/>
      <c r="W16" s="572"/>
      <c r="X16" s="576">
        <f t="shared" si="0"/>
        <v>84.1</v>
      </c>
      <c r="Y16" s="577"/>
      <c r="Z16" s="577"/>
      <c r="AA16" s="577"/>
      <c r="AB16" s="23"/>
      <c r="AC16" s="578">
        <v>14.560112977181111</v>
      </c>
      <c r="AD16" s="579"/>
      <c r="AE16" s="579"/>
      <c r="AF16" s="579"/>
      <c r="AG16" s="580"/>
      <c r="AH16" s="587"/>
      <c r="AI16" s="588"/>
      <c r="AJ16" s="588"/>
      <c r="AK16" s="588"/>
      <c r="AL16" s="14"/>
      <c r="AM16" s="18"/>
      <c r="AN16" s="14"/>
      <c r="AO16" s="14"/>
      <c r="AP16" s="14"/>
      <c r="AQ16" s="14"/>
      <c r="AR16" s="14"/>
      <c r="AS16" s="14"/>
      <c r="AT16" s="14"/>
      <c r="AU16" s="14"/>
      <c r="AY16" s="79"/>
      <c r="AZ16" s="79"/>
    </row>
    <row r="17" spans="1:52" s="3" customFormat="1" ht="15.6" customHeight="1" x14ac:dyDescent="0.15">
      <c r="A17" s="49"/>
      <c r="B17" s="604" t="s">
        <v>169</v>
      </c>
      <c r="C17" s="604"/>
      <c r="D17" s="604"/>
      <c r="E17" s="604"/>
      <c r="F17" s="604"/>
      <c r="G17" s="604"/>
      <c r="H17" s="604"/>
      <c r="I17" s="605">
        <v>2564</v>
      </c>
      <c r="J17" s="606"/>
      <c r="K17" s="606"/>
      <c r="L17" s="606"/>
      <c r="M17" s="607"/>
      <c r="N17" s="605">
        <v>3302</v>
      </c>
      <c r="O17" s="606"/>
      <c r="P17" s="606"/>
      <c r="Q17" s="606"/>
      <c r="R17" s="607"/>
      <c r="S17" s="570">
        <v>31</v>
      </c>
      <c r="T17" s="571"/>
      <c r="U17" s="571"/>
      <c r="V17" s="571"/>
      <c r="W17" s="572"/>
      <c r="X17" s="576">
        <f>I17/S17</f>
        <v>82.709677419354833</v>
      </c>
      <c r="Y17" s="577"/>
      <c r="Z17" s="577"/>
      <c r="AA17" s="577"/>
      <c r="AB17" s="23"/>
      <c r="AC17" s="578">
        <v>14.773652608878509</v>
      </c>
      <c r="AD17" s="579"/>
      <c r="AE17" s="579"/>
      <c r="AF17" s="579"/>
      <c r="AG17" s="580"/>
      <c r="AH17" s="587"/>
      <c r="AI17" s="588"/>
      <c r="AJ17" s="588"/>
      <c r="AK17" s="588"/>
      <c r="AL17" s="14"/>
      <c r="AM17" s="14"/>
      <c r="AN17" s="14"/>
      <c r="AO17" s="14"/>
      <c r="AP17" s="14"/>
      <c r="AQ17" s="14"/>
      <c r="AR17" s="14"/>
      <c r="AS17" s="14"/>
      <c r="AT17" s="14"/>
      <c r="AU17" s="39"/>
      <c r="AV17" s="38"/>
      <c r="AX17" s="596"/>
      <c r="AY17" s="596"/>
      <c r="AZ17" s="79"/>
    </row>
    <row r="18" spans="1:52" s="3" customFormat="1" ht="15.6" customHeight="1" x14ac:dyDescent="0.15">
      <c r="A18" s="49"/>
      <c r="B18" s="597" t="s">
        <v>189</v>
      </c>
      <c r="C18" s="597"/>
      <c r="D18" s="597"/>
      <c r="E18" s="597"/>
      <c r="F18" s="597"/>
      <c r="G18" s="597"/>
      <c r="H18" s="597"/>
      <c r="I18" s="598">
        <f>2558+3</f>
        <v>2561</v>
      </c>
      <c r="J18" s="599"/>
      <c r="K18" s="599"/>
      <c r="L18" s="599"/>
      <c r="M18" s="600"/>
      <c r="N18" s="598">
        <f>3277+3</f>
        <v>3280</v>
      </c>
      <c r="O18" s="599"/>
      <c r="P18" s="599"/>
      <c r="Q18" s="599"/>
      <c r="R18" s="600"/>
      <c r="S18" s="570">
        <v>31</v>
      </c>
      <c r="T18" s="571"/>
      <c r="U18" s="571"/>
      <c r="V18" s="571"/>
      <c r="W18" s="572"/>
      <c r="X18" s="576">
        <f>I18/S18</f>
        <v>82.612903225806448</v>
      </c>
      <c r="Y18" s="577"/>
      <c r="Z18" s="577"/>
      <c r="AA18" s="577"/>
      <c r="AB18" s="23"/>
      <c r="AC18" s="578">
        <v>14.639262681038138</v>
      </c>
      <c r="AD18" s="579"/>
      <c r="AE18" s="579"/>
      <c r="AF18" s="579"/>
      <c r="AG18" s="580"/>
      <c r="AH18" s="883"/>
      <c r="AI18" s="884"/>
      <c r="AJ18" s="884"/>
      <c r="AK18" s="884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38"/>
      <c r="AX18" s="237"/>
      <c r="AY18" s="237"/>
      <c r="AZ18" s="79"/>
    </row>
    <row r="19" spans="1:52" s="1" customFormat="1" ht="15.6" customHeight="1" x14ac:dyDescent="0.15">
      <c r="A19" s="49"/>
      <c r="B19" s="260"/>
      <c r="C19" s="16"/>
      <c r="D19" s="590" t="s">
        <v>79</v>
      </c>
      <c r="E19" s="590"/>
      <c r="F19" s="590"/>
      <c r="G19" s="590"/>
      <c r="H19" s="590"/>
      <c r="I19" s="591">
        <v>88</v>
      </c>
      <c r="J19" s="592"/>
      <c r="K19" s="592"/>
      <c r="L19" s="592"/>
      <c r="M19" s="593"/>
      <c r="N19" s="594">
        <v>174</v>
      </c>
      <c r="O19" s="594"/>
      <c r="P19" s="594"/>
      <c r="Q19" s="594"/>
      <c r="R19" s="594"/>
      <c r="S19" s="260"/>
      <c r="T19" s="18"/>
      <c r="U19" s="16"/>
      <c r="V19" s="16"/>
      <c r="W19" s="16"/>
      <c r="X19" s="16"/>
      <c r="Y19" s="16"/>
      <c r="Z19" s="16"/>
      <c r="AA19" s="16"/>
      <c r="AB19" s="236"/>
      <c r="AC19" s="236"/>
      <c r="AD19" s="236"/>
      <c r="AE19" s="236"/>
      <c r="AF19" s="16"/>
      <c r="AG19" s="16"/>
      <c r="AH19" s="16"/>
      <c r="AI19" s="71"/>
      <c r="AJ19" s="16"/>
      <c r="AK19" s="16"/>
      <c r="AL19" s="16"/>
      <c r="AM19" s="16"/>
      <c r="AN19" s="16"/>
      <c r="AO19" s="16"/>
      <c r="AY19" s="246"/>
      <c r="AZ19" s="246"/>
    </row>
    <row r="20" spans="1:52" s="1" customFormat="1" ht="15.6" customHeight="1" x14ac:dyDescent="0.15">
      <c r="A20" s="49"/>
      <c r="B20" s="260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545"/>
      <c r="AI20" s="545"/>
      <c r="AJ20" s="545"/>
      <c r="AK20" s="545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Y20" s="246"/>
      <c r="AZ20" s="246"/>
    </row>
    <row r="21" spans="1:52" s="14" customFormat="1" ht="15.6" customHeight="1" x14ac:dyDescent="0.15">
      <c r="A21" s="50" t="s">
        <v>124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24"/>
      <c r="X21" s="24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Y21" s="80"/>
      <c r="AZ21" s="80"/>
    </row>
    <row r="22" spans="1:52" s="14" customFormat="1" ht="15.6" customHeight="1" x14ac:dyDescent="0.15">
      <c r="A22" s="235" t="s">
        <v>171</v>
      </c>
      <c r="B22" s="25"/>
      <c r="C22" s="25"/>
      <c r="D22" s="257"/>
      <c r="E22" s="257"/>
      <c r="F22" s="257"/>
      <c r="G22" s="257"/>
      <c r="H22" s="22"/>
      <c r="I22" s="257"/>
      <c r="J22" s="257"/>
      <c r="K22" s="257"/>
      <c r="L22" s="1" t="s">
        <v>73</v>
      </c>
      <c r="M22" s="22"/>
      <c r="N22" s="257"/>
      <c r="O22" s="257"/>
      <c r="P22" s="257"/>
      <c r="Q22" s="257"/>
      <c r="R22" s="22"/>
      <c r="S22" s="264"/>
      <c r="T22" s="257"/>
      <c r="U22" s="257"/>
      <c r="V22" s="263"/>
      <c r="W22" s="263"/>
      <c r="X22" s="26"/>
      <c r="Y22" s="264"/>
      <c r="Z22" s="264"/>
      <c r="AA22" s="264"/>
      <c r="AB22" s="263"/>
      <c r="AC22" s="257"/>
      <c r="AD22" s="257"/>
      <c r="AE22" s="257"/>
      <c r="AF22" s="257"/>
      <c r="AG22" s="257"/>
      <c r="AH22" s="24"/>
      <c r="AI22" s="24"/>
      <c r="AJ22" s="24"/>
      <c r="AK22" s="24"/>
      <c r="AL22" s="24"/>
      <c r="AM22" s="24"/>
      <c r="AY22" s="80"/>
      <c r="AZ22" s="80"/>
    </row>
    <row r="23" spans="1:52" s="14" customFormat="1" ht="15.6" customHeight="1" x14ac:dyDescent="0.15">
      <c r="A23" s="52"/>
      <c r="B23" s="595" t="s">
        <v>14</v>
      </c>
      <c r="C23" s="595"/>
      <c r="D23" s="595" t="s">
        <v>15</v>
      </c>
      <c r="E23" s="595"/>
      <c r="F23" s="595"/>
      <c r="G23" s="595"/>
      <c r="H23" s="595"/>
      <c r="I23" s="595" t="s">
        <v>16</v>
      </c>
      <c r="J23" s="595"/>
      <c r="K23" s="595"/>
      <c r="L23" s="595"/>
      <c r="M23" s="595"/>
      <c r="N23" s="595" t="s">
        <v>17</v>
      </c>
      <c r="O23" s="595"/>
      <c r="P23" s="595"/>
      <c r="Q23" s="595"/>
      <c r="R23" s="595"/>
      <c r="S23" s="608" t="s">
        <v>18</v>
      </c>
      <c r="T23" s="609"/>
      <c r="U23" s="609"/>
      <c r="V23" s="609"/>
      <c r="W23" s="609"/>
      <c r="X23" s="610"/>
      <c r="Y23" s="608" t="s">
        <v>19</v>
      </c>
      <c r="Z23" s="609"/>
      <c r="AA23" s="609"/>
      <c r="AB23" s="609"/>
      <c r="AC23" s="609"/>
      <c r="AD23" s="610"/>
      <c r="AE23" s="608" t="s">
        <v>72</v>
      </c>
      <c r="AF23" s="609"/>
      <c r="AG23" s="610"/>
      <c r="AH23" s="13"/>
      <c r="AI23" s="13"/>
      <c r="AJ23" s="13"/>
      <c r="AK23" s="13"/>
      <c r="AL23" s="13"/>
      <c r="AM23" s="13"/>
      <c r="AY23" s="80"/>
      <c r="AZ23" s="80"/>
    </row>
    <row r="24" spans="1:52" s="14" customFormat="1" ht="15.6" customHeight="1" x14ac:dyDescent="0.15">
      <c r="A24" s="49"/>
      <c r="B24" s="611" t="s">
        <v>9</v>
      </c>
      <c r="C24" s="611"/>
      <c r="D24" s="612">
        <v>365</v>
      </c>
      <c r="E24" s="612"/>
      <c r="F24" s="612"/>
      <c r="G24" s="612"/>
      <c r="H24" s="612"/>
      <c r="I24" s="612">
        <f>SUM(L25:M28)</f>
        <v>29</v>
      </c>
      <c r="J24" s="612"/>
      <c r="K24" s="612"/>
      <c r="L24" s="612"/>
      <c r="M24" s="612"/>
      <c r="N24" s="612">
        <f>SUM(Q25:R29)</f>
        <v>20</v>
      </c>
      <c r="O24" s="612"/>
      <c r="P24" s="612"/>
      <c r="Q24" s="612"/>
      <c r="R24" s="612"/>
      <c r="S24" s="613">
        <v>327</v>
      </c>
      <c r="T24" s="614"/>
      <c r="U24" s="614"/>
      <c r="V24" s="614"/>
      <c r="W24" s="614"/>
      <c r="X24" s="615"/>
      <c r="Y24" s="613">
        <v>286</v>
      </c>
      <c r="Z24" s="614"/>
      <c r="AA24" s="614"/>
      <c r="AB24" s="614"/>
      <c r="AC24" s="614"/>
      <c r="AD24" s="615"/>
      <c r="AE24" s="613">
        <f>S24-Y24</f>
        <v>41</v>
      </c>
      <c r="AF24" s="614"/>
      <c r="AG24" s="615"/>
      <c r="AH24" s="16"/>
      <c r="AI24" s="13"/>
      <c r="AJ24" s="13"/>
      <c r="AK24" s="16"/>
      <c r="AL24" s="16"/>
      <c r="AM24" s="16"/>
      <c r="AY24" s="80"/>
      <c r="AZ24" s="80"/>
    </row>
    <row r="25" spans="1:52" s="14" customFormat="1" ht="15.6" customHeight="1" x14ac:dyDescent="0.15">
      <c r="A25" s="49"/>
      <c r="B25" s="632" t="s">
        <v>21</v>
      </c>
      <c r="C25" s="633"/>
      <c r="D25" s="624"/>
      <c r="E25" s="625"/>
      <c r="F25" s="625"/>
      <c r="G25" s="626"/>
      <c r="H25" s="627"/>
      <c r="I25" s="57" t="s">
        <v>22</v>
      </c>
      <c r="J25" s="58"/>
      <c r="K25" s="58"/>
      <c r="L25" s="622">
        <v>8</v>
      </c>
      <c r="M25" s="623"/>
      <c r="N25" s="57" t="s">
        <v>62</v>
      </c>
      <c r="O25" s="58"/>
      <c r="P25" s="58"/>
      <c r="Q25" s="622">
        <v>13</v>
      </c>
      <c r="R25" s="623"/>
      <c r="S25" s="242" t="s">
        <v>23</v>
      </c>
      <c r="T25" s="243"/>
      <c r="U25" s="243"/>
      <c r="V25" s="243"/>
      <c r="W25" s="622">
        <v>54</v>
      </c>
      <c r="X25" s="623"/>
      <c r="Y25" s="57" t="s">
        <v>97</v>
      </c>
      <c r="Z25" s="243"/>
      <c r="AA25" s="243"/>
      <c r="AB25" s="243"/>
      <c r="AC25" s="622">
        <v>0</v>
      </c>
      <c r="AD25" s="623"/>
      <c r="AE25" s="254"/>
      <c r="AF25" s="255"/>
      <c r="AG25" s="5"/>
      <c r="AH25" s="16"/>
      <c r="AI25" s="13"/>
      <c r="AJ25" s="13"/>
      <c r="AK25" s="16"/>
      <c r="AL25" s="16"/>
      <c r="AM25" s="16"/>
      <c r="AY25" s="80"/>
      <c r="AZ25" s="80"/>
    </row>
    <row r="26" spans="1:52" s="14" customFormat="1" ht="15.6" customHeight="1" x14ac:dyDescent="0.15">
      <c r="A26" s="49"/>
      <c r="B26" s="634"/>
      <c r="C26" s="635"/>
      <c r="D26" s="620"/>
      <c r="E26" s="621"/>
      <c r="F26" s="621"/>
      <c r="G26" s="621"/>
      <c r="H26" s="59"/>
      <c r="I26" s="60" t="s">
        <v>0</v>
      </c>
      <c r="J26" s="61"/>
      <c r="K26" s="61"/>
      <c r="L26" s="616">
        <v>2</v>
      </c>
      <c r="M26" s="617"/>
      <c r="N26" s="60" t="s">
        <v>3</v>
      </c>
      <c r="O26" s="61"/>
      <c r="P26" s="61"/>
      <c r="Q26" s="616">
        <v>0</v>
      </c>
      <c r="R26" s="617"/>
      <c r="S26" s="240" t="s">
        <v>90</v>
      </c>
      <c r="T26" s="241"/>
      <c r="U26" s="241"/>
      <c r="V26" s="241"/>
      <c r="W26" s="616">
        <v>1</v>
      </c>
      <c r="X26" s="617"/>
      <c r="Y26" s="60" t="s">
        <v>4</v>
      </c>
      <c r="Z26" s="61"/>
      <c r="AA26" s="61"/>
      <c r="AB26" s="61"/>
      <c r="AC26" s="616">
        <v>105</v>
      </c>
      <c r="AD26" s="617"/>
      <c r="AE26" s="252"/>
      <c r="AF26" s="253"/>
      <c r="AG26" s="6"/>
      <c r="AH26" s="16"/>
      <c r="AI26" s="13"/>
      <c r="AJ26" s="13"/>
      <c r="AK26" s="16"/>
      <c r="AL26" s="16"/>
      <c r="AM26" s="16"/>
      <c r="AY26" s="80"/>
      <c r="AZ26" s="80"/>
    </row>
    <row r="27" spans="1:52" s="14" customFormat="1" ht="15.6" customHeight="1" x14ac:dyDescent="0.15">
      <c r="A27" s="49"/>
      <c r="B27" s="634"/>
      <c r="C27" s="635"/>
      <c r="D27" s="620"/>
      <c r="E27" s="621"/>
      <c r="F27" s="621"/>
      <c r="G27" s="621"/>
      <c r="H27" s="59"/>
      <c r="I27" s="60" t="s">
        <v>61</v>
      </c>
      <c r="J27" s="61"/>
      <c r="K27" s="61"/>
      <c r="L27" s="616">
        <v>4</v>
      </c>
      <c r="M27" s="617"/>
      <c r="N27" s="60" t="s">
        <v>0</v>
      </c>
      <c r="O27" s="61"/>
      <c r="P27" s="61"/>
      <c r="Q27" s="616">
        <v>0</v>
      </c>
      <c r="R27" s="617"/>
      <c r="S27" s="240" t="s">
        <v>91</v>
      </c>
      <c r="T27" s="241"/>
      <c r="U27" s="241"/>
      <c r="V27" s="241"/>
      <c r="W27" s="616">
        <v>9</v>
      </c>
      <c r="X27" s="617"/>
      <c r="Y27" s="60" t="s">
        <v>2</v>
      </c>
      <c r="Z27" s="62"/>
      <c r="AA27" s="62"/>
      <c r="AB27" s="62"/>
      <c r="AC27" s="616">
        <v>17</v>
      </c>
      <c r="AD27" s="617"/>
      <c r="AE27" s="252"/>
      <c r="AF27" s="253"/>
      <c r="AG27" s="6"/>
      <c r="AH27" s="16"/>
      <c r="AI27" s="13"/>
      <c r="AJ27" s="13"/>
      <c r="AK27" s="16"/>
      <c r="AL27" s="16"/>
      <c r="AM27" s="16"/>
      <c r="AQ27" s="18"/>
      <c r="AY27" s="80"/>
      <c r="AZ27" s="80"/>
    </row>
    <row r="28" spans="1:52" s="14" customFormat="1" ht="15.6" customHeight="1" x14ac:dyDescent="0.15">
      <c r="A28" s="49"/>
      <c r="B28" s="634"/>
      <c r="C28" s="635"/>
      <c r="D28" s="620"/>
      <c r="E28" s="621"/>
      <c r="F28" s="621"/>
      <c r="G28" s="621"/>
      <c r="H28" s="59"/>
      <c r="I28" s="60" t="s">
        <v>60</v>
      </c>
      <c r="J28" s="61"/>
      <c r="K28" s="61"/>
      <c r="L28" s="616">
        <v>15</v>
      </c>
      <c r="M28" s="617"/>
      <c r="N28" s="60" t="s">
        <v>4</v>
      </c>
      <c r="O28" s="61"/>
      <c r="P28" s="61"/>
      <c r="Q28" s="616">
        <v>0</v>
      </c>
      <c r="R28" s="617"/>
      <c r="S28" s="240" t="s">
        <v>92</v>
      </c>
      <c r="T28" s="241"/>
      <c r="U28" s="241"/>
      <c r="V28" s="241"/>
      <c r="W28" s="616">
        <v>54</v>
      </c>
      <c r="X28" s="617"/>
      <c r="Y28" s="60" t="s">
        <v>98</v>
      </c>
      <c r="Z28" s="61"/>
      <c r="AA28" s="61"/>
      <c r="AB28" s="61"/>
      <c r="AC28" s="616">
        <v>48</v>
      </c>
      <c r="AD28" s="617"/>
      <c r="AE28" s="252"/>
      <c r="AF28" s="253"/>
      <c r="AG28" s="6"/>
      <c r="AH28" s="16"/>
      <c r="AI28" s="13"/>
      <c r="AJ28" s="13"/>
      <c r="AK28" s="16"/>
      <c r="AL28" s="16"/>
      <c r="AM28" s="16"/>
      <c r="AY28" s="80"/>
      <c r="AZ28" s="80"/>
    </row>
    <row r="29" spans="1:52" s="14" customFormat="1" ht="15.6" customHeight="1" x14ac:dyDescent="0.15">
      <c r="A29" s="49"/>
      <c r="B29" s="634"/>
      <c r="C29" s="635"/>
      <c r="D29" s="620"/>
      <c r="E29" s="621"/>
      <c r="F29" s="621"/>
      <c r="G29" s="621"/>
      <c r="H29" s="59"/>
      <c r="I29" s="60"/>
      <c r="J29" s="61"/>
      <c r="K29" s="61"/>
      <c r="L29" s="61"/>
      <c r="M29" s="63"/>
      <c r="N29" s="60" t="s">
        <v>60</v>
      </c>
      <c r="O29" s="61"/>
      <c r="P29" s="61"/>
      <c r="Q29" s="616">
        <v>7</v>
      </c>
      <c r="R29" s="617"/>
      <c r="S29" s="240" t="s">
        <v>94</v>
      </c>
      <c r="T29" s="241"/>
      <c r="U29" s="241"/>
      <c r="V29" s="241"/>
      <c r="W29" s="616">
        <v>16</v>
      </c>
      <c r="X29" s="617"/>
      <c r="Y29" s="60" t="s">
        <v>99</v>
      </c>
      <c r="Z29" s="61"/>
      <c r="AA29" s="61"/>
      <c r="AB29" s="61"/>
      <c r="AC29" s="618">
        <v>3</v>
      </c>
      <c r="AD29" s="619"/>
      <c r="AE29" s="252"/>
      <c r="AF29" s="253"/>
      <c r="AG29" s="6"/>
      <c r="AH29" s="16"/>
      <c r="AI29" s="13"/>
      <c r="AJ29" s="13"/>
      <c r="AK29" s="16"/>
      <c r="AL29" s="16"/>
      <c r="AM29" s="16"/>
      <c r="AY29" s="80"/>
      <c r="AZ29" s="80"/>
    </row>
    <row r="30" spans="1:52" s="14" customFormat="1" ht="15.6" customHeight="1" x14ac:dyDescent="0.15">
      <c r="A30" s="49"/>
      <c r="B30" s="634"/>
      <c r="C30" s="635"/>
      <c r="D30" s="240"/>
      <c r="E30" s="241"/>
      <c r="F30" s="241"/>
      <c r="G30" s="241"/>
      <c r="H30" s="59"/>
      <c r="I30" s="60"/>
      <c r="J30" s="61"/>
      <c r="K30" s="61"/>
      <c r="L30" s="61"/>
      <c r="M30" s="63"/>
      <c r="N30" s="60"/>
      <c r="O30" s="61"/>
      <c r="P30" s="61"/>
      <c r="Q30" s="238"/>
      <c r="R30" s="239"/>
      <c r="S30" s="240" t="s">
        <v>93</v>
      </c>
      <c r="T30" s="241"/>
      <c r="U30" s="241"/>
      <c r="V30" s="241"/>
      <c r="W30" s="616">
        <v>0</v>
      </c>
      <c r="X30" s="617"/>
      <c r="Y30" s="60" t="s">
        <v>100</v>
      </c>
      <c r="Z30" s="61"/>
      <c r="AA30" s="61"/>
      <c r="AB30" s="61"/>
      <c r="AC30" s="618">
        <v>12</v>
      </c>
      <c r="AD30" s="619"/>
      <c r="AE30" s="252"/>
      <c r="AF30" s="253"/>
      <c r="AG30" s="6"/>
      <c r="AH30" s="16"/>
      <c r="AI30" s="13"/>
      <c r="AJ30" s="13"/>
      <c r="AK30" s="16"/>
      <c r="AL30" s="16"/>
      <c r="AM30" s="16"/>
      <c r="AY30" s="80"/>
      <c r="AZ30" s="80"/>
    </row>
    <row r="31" spans="1:52" s="14" customFormat="1" ht="15.6" customHeight="1" x14ac:dyDescent="0.15">
      <c r="A31" s="49"/>
      <c r="B31" s="634"/>
      <c r="C31" s="635"/>
      <c r="D31" s="240"/>
      <c r="E31" s="241"/>
      <c r="F31" s="241"/>
      <c r="G31" s="241"/>
      <c r="H31" s="59"/>
      <c r="I31" s="60"/>
      <c r="J31" s="61"/>
      <c r="K31" s="61"/>
      <c r="L31" s="61"/>
      <c r="M31" s="63"/>
      <c r="N31" s="60"/>
      <c r="O31" s="61"/>
      <c r="P31" s="61"/>
      <c r="Q31" s="238"/>
      <c r="R31" s="239"/>
      <c r="S31" s="240" t="s">
        <v>95</v>
      </c>
      <c r="T31" s="241"/>
      <c r="U31" s="241"/>
      <c r="V31" s="241"/>
      <c r="W31" s="616">
        <v>29</v>
      </c>
      <c r="X31" s="617"/>
      <c r="Y31" s="60" t="s">
        <v>101</v>
      </c>
      <c r="Z31" s="61"/>
      <c r="AA31" s="61"/>
      <c r="AB31" s="61"/>
      <c r="AC31" s="618">
        <v>4</v>
      </c>
      <c r="AD31" s="619"/>
      <c r="AE31" s="252"/>
      <c r="AF31" s="253"/>
      <c r="AG31" s="6"/>
      <c r="AH31" s="16"/>
      <c r="AI31" s="16"/>
      <c r="AJ31" s="16"/>
      <c r="AK31" s="16"/>
      <c r="AL31" s="16"/>
      <c r="AM31" s="16"/>
      <c r="AY31" s="80"/>
      <c r="AZ31" s="80"/>
    </row>
    <row r="32" spans="1:52" s="14" customFormat="1" ht="15.6" customHeight="1" x14ac:dyDescent="0.15">
      <c r="A32" s="49"/>
      <c r="B32" s="634"/>
      <c r="C32" s="635"/>
      <c r="D32" s="240"/>
      <c r="E32" s="241"/>
      <c r="F32" s="241"/>
      <c r="G32" s="241"/>
      <c r="H32" s="59"/>
      <c r="I32" s="60"/>
      <c r="J32" s="61"/>
      <c r="K32" s="61"/>
      <c r="L32" s="61"/>
      <c r="M32" s="63"/>
      <c r="N32" s="60"/>
      <c r="O32" s="61"/>
      <c r="P32" s="61"/>
      <c r="Q32" s="238"/>
      <c r="R32" s="239"/>
      <c r="S32" s="240" t="s">
        <v>96</v>
      </c>
      <c r="T32" s="241"/>
      <c r="U32" s="241"/>
      <c r="V32" s="241"/>
      <c r="W32" s="616">
        <v>1</v>
      </c>
      <c r="X32" s="617"/>
      <c r="Y32" s="60" t="s">
        <v>103</v>
      </c>
      <c r="Z32" s="61"/>
      <c r="AA32" s="61"/>
      <c r="AB32" s="61"/>
      <c r="AC32" s="618">
        <v>22</v>
      </c>
      <c r="AD32" s="619"/>
      <c r="AE32" s="252"/>
      <c r="AF32" s="253"/>
      <c r="AG32" s="6"/>
      <c r="AH32" s="16"/>
      <c r="AI32" s="16"/>
      <c r="AJ32" s="16"/>
      <c r="AK32" s="16"/>
      <c r="AL32" s="16"/>
      <c r="AM32" s="16"/>
      <c r="AY32" s="80"/>
      <c r="AZ32" s="80"/>
    </row>
    <row r="33" spans="1:72" s="14" customFormat="1" ht="15.6" customHeight="1" x14ac:dyDescent="0.15">
      <c r="A33" s="49"/>
      <c r="B33" s="634"/>
      <c r="C33" s="635"/>
      <c r="D33" s="240"/>
      <c r="E33" s="241"/>
      <c r="F33" s="241"/>
      <c r="G33" s="241"/>
      <c r="H33" s="59"/>
      <c r="I33" s="60"/>
      <c r="J33" s="61"/>
      <c r="K33" s="61"/>
      <c r="L33" s="61"/>
      <c r="M33" s="63"/>
      <c r="N33" s="60"/>
      <c r="O33" s="61"/>
      <c r="P33" s="61"/>
      <c r="Q33" s="238"/>
      <c r="R33" s="239"/>
      <c r="S33" s="240" t="s">
        <v>80</v>
      </c>
      <c r="T33" s="241"/>
      <c r="U33" s="241"/>
      <c r="V33" s="241"/>
      <c r="W33" s="616">
        <v>112</v>
      </c>
      <c r="X33" s="617"/>
      <c r="Y33" s="60" t="s">
        <v>104</v>
      </c>
      <c r="Z33" s="61"/>
      <c r="AA33" s="61"/>
      <c r="AB33" s="61"/>
      <c r="AC33" s="618">
        <v>1</v>
      </c>
      <c r="AD33" s="619"/>
      <c r="AE33" s="252"/>
      <c r="AF33" s="253"/>
      <c r="AG33" s="6"/>
      <c r="AH33" s="16"/>
      <c r="AI33" s="16"/>
      <c r="AJ33" s="16"/>
      <c r="AK33" s="16"/>
      <c r="AL33" s="16"/>
      <c r="AM33" s="16"/>
      <c r="AY33" s="80"/>
      <c r="AZ33" s="80"/>
    </row>
    <row r="34" spans="1:72" s="3" customFormat="1" ht="15.6" customHeight="1" x14ac:dyDescent="0.15">
      <c r="A34" s="49"/>
      <c r="B34" s="634"/>
      <c r="C34" s="635"/>
      <c r="D34" s="240"/>
      <c r="E34" s="241"/>
      <c r="F34" s="241"/>
      <c r="G34" s="241"/>
      <c r="H34" s="59"/>
      <c r="I34" s="60"/>
      <c r="J34" s="61"/>
      <c r="K34" s="61"/>
      <c r="L34" s="61"/>
      <c r="M34" s="63"/>
      <c r="N34" s="60"/>
      <c r="O34" s="61"/>
      <c r="P34" s="61"/>
      <c r="Q34" s="238"/>
      <c r="R34" s="239"/>
      <c r="S34" s="240" t="s">
        <v>102</v>
      </c>
      <c r="T34" s="241"/>
      <c r="U34" s="241"/>
      <c r="V34" s="241"/>
      <c r="W34" s="616">
        <v>3</v>
      </c>
      <c r="X34" s="617"/>
      <c r="Y34" s="60" t="s">
        <v>105</v>
      </c>
      <c r="Z34" s="61"/>
      <c r="AA34" s="61"/>
      <c r="AB34" s="61"/>
      <c r="AC34" s="618">
        <v>45</v>
      </c>
      <c r="AD34" s="619"/>
      <c r="AE34" s="252"/>
      <c r="AF34" s="253"/>
      <c r="AG34" s="6"/>
      <c r="AH34" s="16"/>
      <c r="AI34" s="16"/>
      <c r="AJ34" s="16"/>
      <c r="AK34" s="16"/>
      <c r="AL34" s="16"/>
      <c r="AM34" s="16"/>
      <c r="AN34" s="14"/>
      <c r="AO34" s="14"/>
      <c r="AY34" s="79"/>
      <c r="AZ34" s="79"/>
    </row>
    <row r="35" spans="1:72" s="2" customFormat="1" ht="15.6" customHeight="1" x14ac:dyDescent="0.15">
      <c r="A35" s="49"/>
      <c r="B35" s="636"/>
      <c r="C35" s="637"/>
      <c r="D35" s="628"/>
      <c r="E35" s="629"/>
      <c r="F35" s="629"/>
      <c r="G35" s="629"/>
      <c r="H35" s="64"/>
      <c r="I35" s="65"/>
      <c r="J35" s="66"/>
      <c r="K35" s="66"/>
      <c r="L35" s="66"/>
      <c r="M35" s="67"/>
      <c r="N35" s="65"/>
      <c r="O35" s="66"/>
      <c r="P35" s="66"/>
      <c r="Q35" s="66"/>
      <c r="R35" s="67"/>
      <c r="S35" s="244" t="s">
        <v>24</v>
      </c>
      <c r="T35" s="245"/>
      <c r="U35" s="245"/>
      <c r="V35" s="245"/>
      <c r="W35" s="630">
        <v>48</v>
      </c>
      <c r="X35" s="631"/>
      <c r="Y35" s="65" t="s">
        <v>24</v>
      </c>
      <c r="Z35" s="68"/>
      <c r="AA35" s="66"/>
      <c r="AB35" s="66"/>
      <c r="AC35" s="630">
        <v>29</v>
      </c>
      <c r="AD35" s="631"/>
      <c r="AE35" s="256"/>
      <c r="AF35" s="257"/>
      <c r="AG35" s="8"/>
      <c r="AH35" s="16"/>
      <c r="AI35" s="16"/>
      <c r="AJ35" s="16"/>
      <c r="AK35" s="16"/>
      <c r="AL35" s="16"/>
      <c r="AM35" s="16"/>
      <c r="AN35" s="537"/>
      <c r="AO35" s="537"/>
      <c r="AY35" s="81"/>
      <c r="AZ35" s="81"/>
    </row>
    <row r="36" spans="1:72" s="14" customFormat="1" ht="15.6" customHeight="1" x14ac:dyDescent="0.15">
      <c r="A36" s="235" t="s">
        <v>190</v>
      </c>
      <c r="B36" s="227"/>
      <c r="C36" s="25"/>
      <c r="D36" s="257"/>
      <c r="E36" s="257"/>
      <c r="F36" s="257"/>
      <c r="G36" s="257"/>
      <c r="H36" s="48"/>
      <c r="I36" s="257"/>
      <c r="J36" s="257"/>
      <c r="K36" s="257"/>
      <c r="L36" s="257"/>
      <c r="M36" s="48"/>
      <c r="N36" s="257"/>
      <c r="O36" s="257"/>
      <c r="P36" s="257"/>
      <c r="Q36" s="257"/>
      <c r="R36" s="22"/>
      <c r="S36" s="264"/>
      <c r="T36" s="257"/>
      <c r="U36" s="257"/>
      <c r="V36" s="257"/>
      <c r="W36" s="263"/>
      <c r="X36" s="263"/>
      <c r="Y36" s="26"/>
      <c r="Z36" s="26"/>
      <c r="AA36" s="264"/>
      <c r="AB36" s="264"/>
      <c r="AC36" s="264"/>
      <c r="AD36" s="263"/>
      <c r="AE36" s="257"/>
      <c r="AF36" s="257"/>
      <c r="AG36" s="257"/>
      <c r="AH36" s="16"/>
      <c r="AI36" s="16"/>
      <c r="AJ36" s="16"/>
      <c r="AK36" s="16"/>
      <c r="AL36" s="18"/>
      <c r="AM36" s="16"/>
      <c r="AN36" s="17"/>
      <c r="AO36" s="10"/>
      <c r="AP36" s="10"/>
      <c r="AQ36" s="74"/>
      <c r="AR36" s="9"/>
      <c r="AS36" s="9"/>
      <c r="AT36" s="9"/>
      <c r="AU36" s="10"/>
      <c r="AV36" s="9"/>
      <c r="AW36" s="9"/>
      <c r="AX36" s="9"/>
      <c r="AY36" s="82"/>
      <c r="AZ36" s="82"/>
      <c r="BA36" s="9"/>
      <c r="BB36" s="9"/>
      <c r="BC36" s="9"/>
      <c r="BD36" s="9"/>
      <c r="BE36" s="10"/>
      <c r="BF36" s="9"/>
      <c r="BG36" s="9"/>
      <c r="BH36" s="9"/>
      <c r="BI36" s="11"/>
      <c r="BJ36" s="11"/>
      <c r="BK36" s="12"/>
      <c r="BL36" s="9"/>
      <c r="BM36" s="9"/>
      <c r="BN36" s="9"/>
      <c r="BO36" s="11"/>
      <c r="BP36" s="9"/>
      <c r="BQ36" s="9"/>
      <c r="BR36" s="9"/>
      <c r="BS36" s="9"/>
      <c r="BT36" s="253"/>
    </row>
    <row r="37" spans="1:72" s="14" customFormat="1" ht="15.6" customHeight="1" x14ac:dyDescent="0.15">
      <c r="A37" s="52"/>
      <c r="B37" s="595" t="s">
        <v>14</v>
      </c>
      <c r="C37" s="595"/>
      <c r="D37" s="595" t="s">
        <v>15</v>
      </c>
      <c r="E37" s="595"/>
      <c r="F37" s="595"/>
      <c r="G37" s="595"/>
      <c r="H37" s="595"/>
      <c r="I37" s="595" t="s">
        <v>16</v>
      </c>
      <c r="J37" s="595"/>
      <c r="K37" s="595"/>
      <c r="L37" s="595"/>
      <c r="M37" s="595"/>
      <c r="N37" s="595" t="s">
        <v>17</v>
      </c>
      <c r="O37" s="595"/>
      <c r="P37" s="595"/>
      <c r="Q37" s="595"/>
      <c r="R37" s="595"/>
      <c r="S37" s="608" t="s">
        <v>18</v>
      </c>
      <c r="T37" s="609"/>
      <c r="U37" s="609"/>
      <c r="V37" s="609"/>
      <c r="W37" s="609"/>
      <c r="X37" s="610"/>
      <c r="Y37" s="608" t="s">
        <v>19</v>
      </c>
      <c r="Z37" s="609"/>
      <c r="AA37" s="609"/>
      <c r="AB37" s="609"/>
      <c r="AC37" s="609"/>
      <c r="AD37" s="610"/>
      <c r="AE37" s="608" t="s">
        <v>72</v>
      </c>
      <c r="AF37" s="609"/>
      <c r="AG37" s="610"/>
      <c r="AH37" s="16"/>
      <c r="AI37" s="16"/>
      <c r="AJ37" s="16"/>
      <c r="AK37" s="16"/>
      <c r="AL37" s="16"/>
      <c r="AM37" s="16"/>
      <c r="AY37" s="80"/>
      <c r="AZ37" s="80"/>
    </row>
    <row r="38" spans="1:72" s="3" customFormat="1" ht="15.6" customHeight="1" x14ac:dyDescent="0.15">
      <c r="A38" s="49"/>
      <c r="B38" s="611" t="s">
        <v>9</v>
      </c>
      <c r="C38" s="611"/>
      <c r="D38" s="612">
        <f>25+35+25+24</f>
        <v>109</v>
      </c>
      <c r="E38" s="612"/>
      <c r="F38" s="612"/>
      <c r="G38" s="612"/>
      <c r="H38" s="612"/>
      <c r="I38" s="612">
        <f>3+4+5+0</f>
        <v>12</v>
      </c>
      <c r="J38" s="612"/>
      <c r="K38" s="612"/>
      <c r="L38" s="612"/>
      <c r="M38" s="612"/>
      <c r="N38" s="612">
        <f>1+0+4+1</f>
        <v>6</v>
      </c>
      <c r="O38" s="612"/>
      <c r="P38" s="612"/>
      <c r="Q38" s="612"/>
      <c r="R38" s="612"/>
      <c r="S38" s="638">
        <f>22+28+20+24</f>
        <v>94</v>
      </c>
      <c r="T38" s="639"/>
      <c r="U38" s="639"/>
      <c r="V38" s="639"/>
      <c r="W38" s="639"/>
      <c r="X38" s="640"/>
      <c r="Y38" s="638">
        <f>22+22+27+26</f>
        <v>97</v>
      </c>
      <c r="Z38" s="639"/>
      <c r="AA38" s="639"/>
      <c r="AB38" s="639"/>
      <c r="AC38" s="639"/>
      <c r="AD38" s="640"/>
      <c r="AE38" s="613">
        <f>S38-Y38</f>
        <v>-3</v>
      </c>
      <c r="AF38" s="614"/>
      <c r="AG38" s="615"/>
      <c r="AH38" s="537"/>
      <c r="AI38" s="537"/>
      <c r="AJ38" s="888"/>
      <c r="AK38" s="888"/>
      <c r="AL38" s="888"/>
      <c r="AM38" s="888"/>
      <c r="AN38" s="18"/>
      <c r="AO38" s="14"/>
      <c r="AY38" s="79"/>
      <c r="AZ38" s="79"/>
    </row>
    <row r="39" spans="1:72" s="3" customFormat="1" ht="15.6" customHeight="1" x14ac:dyDescent="0.15">
      <c r="A39" s="49"/>
      <c r="B39" s="632" t="s">
        <v>21</v>
      </c>
      <c r="C39" s="633"/>
      <c r="D39" s="624"/>
      <c r="E39" s="625"/>
      <c r="F39" s="625"/>
      <c r="G39" s="626"/>
      <c r="H39" s="627"/>
      <c r="I39" s="57" t="s">
        <v>22</v>
      </c>
      <c r="J39" s="58"/>
      <c r="K39" s="58"/>
      <c r="L39" s="622">
        <f>1+1</f>
        <v>2</v>
      </c>
      <c r="M39" s="623"/>
      <c r="N39" s="57" t="s">
        <v>62</v>
      </c>
      <c r="O39" s="58"/>
      <c r="P39" s="58"/>
      <c r="Q39" s="622">
        <f>1+2+0+0</f>
        <v>3</v>
      </c>
      <c r="R39" s="623"/>
      <c r="S39" s="242" t="s">
        <v>23</v>
      </c>
      <c r="T39" s="243"/>
      <c r="U39" s="243"/>
      <c r="V39" s="243"/>
      <c r="W39" s="622">
        <f>2+5+5+2</f>
        <v>14</v>
      </c>
      <c r="X39" s="623"/>
      <c r="Y39" s="57" t="s">
        <v>97</v>
      </c>
      <c r="Z39" s="243"/>
      <c r="AA39" s="243"/>
      <c r="AB39" s="243"/>
      <c r="AC39" s="622">
        <f>0+0+0+0</f>
        <v>0</v>
      </c>
      <c r="AD39" s="623"/>
      <c r="AE39" s="254"/>
      <c r="AF39" s="255"/>
      <c r="AG39" s="5"/>
      <c r="AH39" s="16"/>
      <c r="AI39" s="16"/>
      <c r="AJ39" s="643"/>
      <c r="AK39" s="643"/>
      <c r="AL39" s="643"/>
      <c r="AM39" s="643"/>
      <c r="AN39" s="14"/>
      <c r="AO39" s="14"/>
      <c r="AY39" s="79"/>
      <c r="AZ39" s="79"/>
    </row>
    <row r="40" spans="1:72" s="3" customFormat="1" ht="15.6" customHeight="1" x14ac:dyDescent="0.15">
      <c r="A40" s="49"/>
      <c r="B40" s="634"/>
      <c r="C40" s="635"/>
      <c r="D40" s="620"/>
      <c r="E40" s="621"/>
      <c r="F40" s="621"/>
      <c r="G40" s="621"/>
      <c r="H40" s="59"/>
      <c r="I40" s="60" t="s">
        <v>0</v>
      </c>
      <c r="J40" s="61"/>
      <c r="K40" s="61"/>
      <c r="L40" s="616">
        <f>1+0</f>
        <v>1</v>
      </c>
      <c r="M40" s="617"/>
      <c r="N40" s="60" t="s">
        <v>3</v>
      </c>
      <c r="O40" s="61"/>
      <c r="P40" s="61"/>
      <c r="Q40" s="616">
        <f>0+0+0+0</f>
        <v>0</v>
      </c>
      <c r="R40" s="617"/>
      <c r="S40" s="240" t="s">
        <v>90</v>
      </c>
      <c r="T40" s="241"/>
      <c r="U40" s="241"/>
      <c r="V40" s="241"/>
      <c r="W40" s="616">
        <f>0+0+0+0</f>
        <v>0</v>
      </c>
      <c r="X40" s="617"/>
      <c r="Y40" s="60" t="s">
        <v>4</v>
      </c>
      <c r="Z40" s="61"/>
      <c r="AA40" s="61"/>
      <c r="AB40" s="61"/>
      <c r="AC40" s="616">
        <f>12+7+12+10</f>
        <v>41</v>
      </c>
      <c r="AD40" s="617"/>
      <c r="AE40" s="252"/>
      <c r="AF40" s="253"/>
      <c r="AG40" s="6"/>
      <c r="AH40" s="16"/>
      <c r="AI40" s="16"/>
      <c r="AJ40" s="16"/>
      <c r="AK40" s="16"/>
      <c r="AL40" s="16"/>
      <c r="AM40" s="16"/>
      <c r="AN40" s="14"/>
      <c r="AO40" s="14"/>
      <c r="AY40" s="79"/>
      <c r="AZ40" s="79"/>
    </row>
    <row r="41" spans="1:72" s="3" customFormat="1" ht="15.6" customHeight="1" x14ac:dyDescent="0.15">
      <c r="A41" s="49"/>
      <c r="B41" s="634"/>
      <c r="C41" s="635"/>
      <c r="D41" s="620"/>
      <c r="E41" s="621"/>
      <c r="F41" s="621"/>
      <c r="G41" s="621"/>
      <c r="H41" s="59"/>
      <c r="I41" s="60" t="s">
        <v>61</v>
      </c>
      <c r="J41" s="61"/>
      <c r="K41" s="61"/>
      <c r="L41" s="616">
        <f>0+0</f>
        <v>0</v>
      </c>
      <c r="M41" s="617"/>
      <c r="N41" s="60" t="s">
        <v>0</v>
      </c>
      <c r="O41" s="61"/>
      <c r="P41" s="61"/>
      <c r="Q41" s="616">
        <f>0+0+0+0</f>
        <v>0</v>
      </c>
      <c r="R41" s="617"/>
      <c r="S41" s="240" t="s">
        <v>91</v>
      </c>
      <c r="T41" s="241"/>
      <c r="U41" s="241"/>
      <c r="V41" s="241"/>
      <c r="W41" s="616">
        <f>1+1+0+1</f>
        <v>3</v>
      </c>
      <c r="X41" s="617"/>
      <c r="Y41" s="60" t="s">
        <v>2</v>
      </c>
      <c r="Z41" s="62"/>
      <c r="AA41" s="62"/>
      <c r="AB41" s="62"/>
      <c r="AC41" s="616">
        <f>1+2+1+0</f>
        <v>4</v>
      </c>
      <c r="AD41" s="617"/>
      <c r="AE41" s="252"/>
      <c r="AF41" s="253"/>
      <c r="AG41" s="6"/>
      <c r="AH41" s="16"/>
      <c r="AI41" s="16"/>
      <c r="AJ41" s="643"/>
      <c r="AK41" s="643"/>
      <c r="AL41" s="643"/>
      <c r="AM41" s="643"/>
      <c r="AN41" s="14"/>
      <c r="AO41" s="14"/>
      <c r="AY41" s="79"/>
      <c r="AZ41" s="79"/>
    </row>
    <row r="42" spans="1:72" s="3" customFormat="1" ht="15.6" customHeight="1" x14ac:dyDescent="0.15">
      <c r="A42" s="49"/>
      <c r="B42" s="634"/>
      <c r="C42" s="635"/>
      <c r="D42" s="620"/>
      <c r="E42" s="621"/>
      <c r="F42" s="621"/>
      <c r="G42" s="621"/>
      <c r="H42" s="59"/>
      <c r="I42" s="60" t="s">
        <v>60</v>
      </c>
      <c r="J42" s="61"/>
      <c r="K42" s="61"/>
      <c r="L42" s="616">
        <f>1+3+5</f>
        <v>9</v>
      </c>
      <c r="M42" s="617"/>
      <c r="N42" s="60" t="s">
        <v>4</v>
      </c>
      <c r="O42" s="61"/>
      <c r="P42" s="61"/>
      <c r="Q42" s="616">
        <f>0+0+0+0</f>
        <v>0</v>
      </c>
      <c r="R42" s="617"/>
      <c r="S42" s="240" t="s">
        <v>92</v>
      </c>
      <c r="T42" s="241"/>
      <c r="U42" s="241"/>
      <c r="V42" s="241"/>
      <c r="W42" s="616">
        <f>6+2+1+3</f>
        <v>12</v>
      </c>
      <c r="X42" s="617"/>
      <c r="Y42" s="60" t="s">
        <v>98</v>
      </c>
      <c r="Z42" s="61"/>
      <c r="AA42" s="61"/>
      <c r="AB42" s="61"/>
      <c r="AC42" s="616">
        <f>1+3+4+2</f>
        <v>10</v>
      </c>
      <c r="AD42" s="617"/>
      <c r="AE42" s="252"/>
      <c r="AF42" s="253"/>
      <c r="AG42" s="6"/>
      <c r="AH42" s="16"/>
      <c r="AI42" s="541"/>
      <c r="AJ42" s="16"/>
      <c r="AK42" s="16"/>
      <c r="AL42" s="16"/>
      <c r="AM42" s="16"/>
      <c r="AN42" s="14"/>
      <c r="AO42" s="14"/>
      <c r="AY42" s="79"/>
      <c r="AZ42" s="79"/>
    </row>
    <row r="43" spans="1:72" s="3" customFormat="1" ht="15.6" customHeight="1" x14ac:dyDescent="0.15">
      <c r="A43" s="49"/>
      <c r="B43" s="634"/>
      <c r="C43" s="635"/>
      <c r="D43" s="620"/>
      <c r="E43" s="621"/>
      <c r="F43" s="621"/>
      <c r="G43" s="621"/>
      <c r="H43" s="59"/>
      <c r="I43" s="60"/>
      <c r="J43" s="61"/>
      <c r="K43" s="61"/>
      <c r="L43" s="61"/>
      <c r="M43" s="63"/>
      <c r="N43" s="60" t="s">
        <v>60</v>
      </c>
      <c r="O43" s="61"/>
      <c r="P43" s="61"/>
      <c r="Q43" s="616">
        <f>0+2+1</f>
        <v>3</v>
      </c>
      <c r="R43" s="617"/>
      <c r="S43" s="240" t="s">
        <v>94</v>
      </c>
      <c r="T43" s="241"/>
      <c r="U43" s="241"/>
      <c r="V43" s="241"/>
      <c r="W43" s="616">
        <f>0+0+0+0</f>
        <v>0</v>
      </c>
      <c r="X43" s="617"/>
      <c r="Y43" s="60" t="s">
        <v>99</v>
      </c>
      <c r="Z43" s="61"/>
      <c r="AA43" s="61"/>
      <c r="AB43" s="61"/>
      <c r="AC43" s="618">
        <f>0+0+0+0</f>
        <v>0</v>
      </c>
      <c r="AD43" s="619"/>
      <c r="AE43" s="252"/>
      <c r="AF43" s="253"/>
      <c r="AG43" s="6"/>
      <c r="AH43" s="16"/>
      <c r="AI43" s="541"/>
      <c r="AJ43" s="16"/>
      <c r="AK43" s="16"/>
      <c r="AL43" s="16"/>
      <c r="AM43" s="16"/>
      <c r="AN43" s="14"/>
      <c r="AO43" s="14"/>
      <c r="AY43" s="79"/>
      <c r="AZ43" s="79"/>
    </row>
    <row r="44" spans="1:72" s="3" customFormat="1" ht="15.6" customHeight="1" x14ac:dyDescent="0.15">
      <c r="A44" s="49"/>
      <c r="B44" s="634"/>
      <c r="C44" s="635"/>
      <c r="D44" s="240"/>
      <c r="E44" s="241"/>
      <c r="F44" s="241"/>
      <c r="G44" s="241"/>
      <c r="H44" s="59"/>
      <c r="I44" s="60"/>
      <c r="J44" s="61"/>
      <c r="K44" s="61"/>
      <c r="L44" s="61"/>
      <c r="M44" s="63"/>
      <c r="N44" s="60"/>
      <c r="O44" s="61"/>
      <c r="P44" s="61"/>
      <c r="Q44" s="238"/>
      <c r="R44" s="239"/>
      <c r="S44" s="240" t="s">
        <v>93</v>
      </c>
      <c r="T44" s="241"/>
      <c r="U44" s="241"/>
      <c r="V44" s="241"/>
      <c r="W44" s="616">
        <f>0+0+0+0</f>
        <v>0</v>
      </c>
      <c r="X44" s="617"/>
      <c r="Y44" s="60" t="s">
        <v>100</v>
      </c>
      <c r="Z44" s="61"/>
      <c r="AA44" s="61"/>
      <c r="AB44" s="61"/>
      <c r="AC44" s="618">
        <f>0+1+0+3</f>
        <v>4</v>
      </c>
      <c r="AD44" s="619"/>
      <c r="AE44" s="252"/>
      <c r="AF44" s="253"/>
      <c r="AG44" s="6"/>
      <c r="AH44" s="16"/>
      <c r="AI44" s="541"/>
      <c r="AJ44" s="16"/>
      <c r="AK44" s="16"/>
      <c r="AL44" s="16"/>
      <c r="AM44" s="16"/>
      <c r="AN44" s="14"/>
      <c r="AO44" s="14"/>
      <c r="AY44" s="79"/>
      <c r="AZ44" s="79"/>
    </row>
    <row r="45" spans="1:72" s="3" customFormat="1" ht="15.6" customHeight="1" x14ac:dyDescent="0.15">
      <c r="A45" s="49"/>
      <c r="B45" s="634"/>
      <c r="C45" s="635"/>
      <c r="D45" s="240"/>
      <c r="E45" s="241"/>
      <c r="F45" s="241"/>
      <c r="G45" s="241"/>
      <c r="H45" s="59"/>
      <c r="I45" s="60"/>
      <c r="J45" s="61"/>
      <c r="K45" s="61"/>
      <c r="L45" s="61"/>
      <c r="M45" s="63"/>
      <c r="N45" s="60"/>
      <c r="O45" s="61"/>
      <c r="P45" s="61"/>
      <c r="Q45" s="238"/>
      <c r="R45" s="239"/>
      <c r="S45" s="240" t="s">
        <v>95</v>
      </c>
      <c r="T45" s="241"/>
      <c r="U45" s="241"/>
      <c r="V45" s="241"/>
      <c r="W45" s="616">
        <f>0+3+4+3</f>
        <v>10</v>
      </c>
      <c r="X45" s="617"/>
      <c r="Y45" s="60" t="s">
        <v>101</v>
      </c>
      <c r="Z45" s="61"/>
      <c r="AA45" s="61"/>
      <c r="AB45" s="61"/>
      <c r="AC45" s="618">
        <f>0+0+0+0</f>
        <v>0</v>
      </c>
      <c r="AD45" s="619"/>
      <c r="AE45" s="252"/>
      <c r="AF45" s="253"/>
      <c r="AG45" s="6"/>
      <c r="AH45" s="16"/>
      <c r="AI45" s="541"/>
      <c r="AJ45" s="16"/>
      <c r="AK45" s="16"/>
      <c r="AL45" s="16"/>
      <c r="AM45" s="16"/>
      <c r="AN45" s="14"/>
      <c r="AO45" s="14"/>
      <c r="AY45" s="79"/>
      <c r="AZ45" s="79"/>
    </row>
    <row r="46" spans="1:72" s="3" customFormat="1" ht="15.6" customHeight="1" x14ac:dyDescent="0.15">
      <c r="A46" s="49"/>
      <c r="B46" s="634"/>
      <c r="C46" s="635"/>
      <c r="D46" s="240"/>
      <c r="E46" s="241"/>
      <c r="F46" s="241"/>
      <c r="G46" s="241"/>
      <c r="H46" s="59"/>
      <c r="I46" s="60"/>
      <c r="J46" s="61"/>
      <c r="K46" s="61"/>
      <c r="L46" s="61"/>
      <c r="M46" s="63"/>
      <c r="N46" s="60"/>
      <c r="O46" s="61"/>
      <c r="P46" s="61"/>
      <c r="Q46" s="238"/>
      <c r="R46" s="239"/>
      <c r="S46" s="240" t="s">
        <v>96</v>
      </c>
      <c r="T46" s="241"/>
      <c r="U46" s="241"/>
      <c r="V46" s="241"/>
      <c r="W46" s="616">
        <f>0+0+1+0</f>
        <v>1</v>
      </c>
      <c r="X46" s="617"/>
      <c r="Y46" s="60" t="s">
        <v>103</v>
      </c>
      <c r="Z46" s="61"/>
      <c r="AA46" s="61"/>
      <c r="AB46" s="61"/>
      <c r="AC46" s="618">
        <f>1+5+1+1</f>
        <v>8</v>
      </c>
      <c r="AD46" s="619"/>
      <c r="AE46" s="252"/>
      <c r="AF46" s="253"/>
      <c r="AG46" s="6"/>
      <c r="AH46" s="16"/>
      <c r="AI46" s="541"/>
      <c r="AJ46" s="16"/>
      <c r="AK46" s="16"/>
      <c r="AL46" s="16"/>
      <c r="AM46" s="16"/>
      <c r="AN46" s="14"/>
      <c r="AO46" s="14"/>
      <c r="AY46" s="79"/>
      <c r="AZ46" s="79"/>
    </row>
    <row r="47" spans="1:72" s="3" customFormat="1" ht="15.6" customHeight="1" x14ac:dyDescent="0.15">
      <c r="A47" s="49"/>
      <c r="B47" s="634"/>
      <c r="C47" s="635"/>
      <c r="D47" s="240"/>
      <c r="E47" s="241"/>
      <c r="F47" s="241"/>
      <c r="G47" s="241"/>
      <c r="H47" s="59"/>
      <c r="I47" s="60"/>
      <c r="J47" s="61"/>
      <c r="K47" s="61"/>
      <c r="L47" s="61"/>
      <c r="M47" s="63"/>
      <c r="N47" s="60"/>
      <c r="O47" s="61"/>
      <c r="P47" s="61"/>
      <c r="Q47" s="238"/>
      <c r="R47" s="239"/>
      <c r="S47" s="240" t="s">
        <v>80</v>
      </c>
      <c r="T47" s="241"/>
      <c r="U47" s="241"/>
      <c r="V47" s="241"/>
      <c r="W47" s="616">
        <f>12+14+8+14</f>
        <v>48</v>
      </c>
      <c r="X47" s="617"/>
      <c r="Y47" s="60" t="s">
        <v>104</v>
      </c>
      <c r="Z47" s="61"/>
      <c r="AA47" s="61"/>
      <c r="AB47" s="61"/>
      <c r="AC47" s="618">
        <f>0+0+0+1</f>
        <v>1</v>
      </c>
      <c r="AD47" s="619"/>
      <c r="AE47" s="252"/>
      <c r="AF47" s="253"/>
      <c r="AG47" s="6"/>
      <c r="AH47" s="16"/>
      <c r="AI47" s="16"/>
      <c r="AJ47" s="16"/>
      <c r="AK47" s="16"/>
      <c r="AL47" s="16"/>
      <c r="AM47" s="16"/>
      <c r="AN47" s="14"/>
      <c r="AO47" s="14"/>
      <c r="AY47" s="79"/>
      <c r="AZ47" s="79"/>
    </row>
    <row r="48" spans="1:72" s="3" customFormat="1" ht="15.6" customHeight="1" x14ac:dyDescent="0.15">
      <c r="A48" s="49"/>
      <c r="B48" s="634"/>
      <c r="C48" s="635"/>
      <c r="D48" s="240"/>
      <c r="E48" s="241"/>
      <c r="F48" s="241"/>
      <c r="G48" s="241"/>
      <c r="H48" s="59"/>
      <c r="I48" s="60"/>
      <c r="J48" s="61"/>
      <c r="K48" s="61"/>
      <c r="L48" s="61"/>
      <c r="M48" s="63"/>
      <c r="N48" s="60"/>
      <c r="O48" s="61"/>
      <c r="P48" s="61"/>
      <c r="Q48" s="238"/>
      <c r="R48" s="239"/>
      <c r="S48" s="240" t="s">
        <v>102</v>
      </c>
      <c r="T48" s="241"/>
      <c r="U48" s="241"/>
      <c r="V48" s="241"/>
      <c r="W48" s="616">
        <f>0+0+0+0</f>
        <v>0</v>
      </c>
      <c r="X48" s="617"/>
      <c r="Y48" s="60" t="s">
        <v>105</v>
      </c>
      <c r="Z48" s="61"/>
      <c r="AA48" s="61"/>
      <c r="AB48" s="61"/>
      <c r="AC48" s="618">
        <f>2+4+7+1</f>
        <v>14</v>
      </c>
      <c r="AD48" s="619"/>
      <c r="AE48" s="252"/>
      <c r="AF48" s="253"/>
      <c r="AG48" s="6"/>
      <c r="AH48" s="16"/>
      <c r="AI48" s="16"/>
      <c r="AJ48" s="16"/>
      <c r="AK48" s="16"/>
      <c r="AL48" s="16"/>
      <c r="AM48" s="16"/>
      <c r="AN48" s="14"/>
      <c r="AO48" s="14"/>
      <c r="AY48" s="79"/>
      <c r="AZ48" s="79"/>
    </row>
    <row r="49" spans="1:52" s="3" customFormat="1" ht="15.6" customHeight="1" x14ac:dyDescent="0.15">
      <c r="A49" s="49"/>
      <c r="B49" s="636"/>
      <c r="C49" s="637"/>
      <c r="D49" s="628"/>
      <c r="E49" s="629"/>
      <c r="F49" s="629"/>
      <c r="G49" s="629"/>
      <c r="H49" s="64"/>
      <c r="I49" s="65"/>
      <c r="J49" s="66"/>
      <c r="K49" s="66"/>
      <c r="L49" s="66"/>
      <c r="M49" s="67"/>
      <c r="N49" s="65"/>
      <c r="O49" s="66"/>
      <c r="P49" s="66"/>
      <c r="Q49" s="66"/>
      <c r="R49" s="67"/>
      <c r="S49" s="244" t="s">
        <v>24</v>
      </c>
      <c r="T49" s="245"/>
      <c r="U49" s="245"/>
      <c r="V49" s="245"/>
      <c r="W49" s="630">
        <f>1+3+1+1</f>
        <v>6</v>
      </c>
      <c r="X49" s="631"/>
      <c r="Y49" s="65" t="s">
        <v>24</v>
      </c>
      <c r="Z49" s="68"/>
      <c r="AA49" s="66"/>
      <c r="AB49" s="66"/>
      <c r="AC49" s="630">
        <f>5+0+2+8</f>
        <v>15</v>
      </c>
      <c r="AD49" s="631"/>
      <c r="AE49" s="256"/>
      <c r="AF49" s="257"/>
      <c r="AG49" s="8"/>
      <c r="AH49" s="16"/>
      <c r="AI49" s="16"/>
      <c r="AJ49" s="16"/>
      <c r="AK49" s="16"/>
      <c r="AL49" s="16"/>
      <c r="AM49" s="16"/>
      <c r="AN49" s="14"/>
      <c r="AO49" s="14"/>
      <c r="AY49" s="79"/>
      <c r="AZ49" s="79"/>
    </row>
    <row r="50" spans="1:52" s="3" customFormat="1" ht="15.6" customHeight="1" x14ac:dyDescent="0.15">
      <c r="A50" s="49"/>
      <c r="B50" s="258"/>
      <c r="C50" s="258"/>
      <c r="D50" s="253"/>
      <c r="E50" s="253"/>
      <c r="F50" s="253"/>
      <c r="G50" s="253"/>
      <c r="H50" s="253"/>
      <c r="I50" s="253"/>
      <c r="J50" s="253"/>
      <c r="K50" s="253"/>
      <c r="L50" s="253"/>
      <c r="M50" s="253"/>
      <c r="N50" s="253"/>
      <c r="O50" s="253"/>
      <c r="P50" s="261"/>
      <c r="Q50" s="261"/>
      <c r="R50" s="258"/>
      <c r="S50" s="253"/>
      <c r="T50" s="253"/>
      <c r="U50" s="253"/>
      <c r="V50" s="253"/>
      <c r="W50" s="259"/>
      <c r="X50" s="259"/>
      <c r="Y50" s="261"/>
      <c r="Z50" s="37"/>
      <c r="AA50" s="261"/>
      <c r="AB50" s="261"/>
      <c r="AC50" s="259"/>
      <c r="AD50" s="259"/>
      <c r="AE50" s="253"/>
      <c r="AF50" s="253"/>
      <c r="AG50" s="253"/>
      <c r="AH50" s="16"/>
      <c r="AI50" s="16"/>
      <c r="AJ50" s="16"/>
      <c r="AK50" s="16"/>
      <c r="AL50" s="16"/>
      <c r="AM50" s="16"/>
      <c r="AN50" s="14"/>
      <c r="AO50" s="14"/>
      <c r="AY50" s="79"/>
      <c r="AZ50" s="79"/>
    </row>
    <row r="51" spans="1:52" s="3" customFormat="1" ht="15.6" customHeight="1" x14ac:dyDescent="0.15">
      <c r="A51" s="49"/>
      <c r="B51" s="258"/>
      <c r="C51" s="258"/>
      <c r="D51" s="253"/>
      <c r="E51" s="253"/>
      <c r="F51" s="253"/>
      <c r="G51" s="253"/>
      <c r="H51" s="253"/>
      <c r="I51" s="253"/>
      <c r="J51" s="253"/>
      <c r="K51" s="253"/>
      <c r="L51" s="253"/>
      <c r="M51" s="253"/>
      <c r="N51" s="253"/>
      <c r="O51" s="253"/>
      <c r="P51" s="261"/>
      <c r="Q51" s="261"/>
      <c r="R51" s="258"/>
      <c r="S51" s="253"/>
      <c r="T51" s="253"/>
      <c r="U51" s="253"/>
      <c r="V51" s="253"/>
      <c r="W51" s="259"/>
      <c r="X51" s="259"/>
      <c r="Y51" s="261"/>
      <c r="Z51" s="37"/>
      <c r="AA51" s="261"/>
      <c r="AB51" s="261"/>
      <c r="AC51" s="259"/>
      <c r="AD51" s="259"/>
      <c r="AE51" s="253"/>
      <c r="AF51" s="253"/>
      <c r="AG51" s="253"/>
      <c r="AH51" s="16"/>
      <c r="AI51" s="16"/>
      <c r="AJ51" s="16"/>
      <c r="AK51" s="16"/>
      <c r="AL51" s="16"/>
      <c r="AM51" s="16"/>
      <c r="AN51" s="14"/>
      <c r="AO51" s="14"/>
      <c r="AY51" s="79"/>
      <c r="AZ51" s="79"/>
    </row>
    <row r="52" spans="1:52" s="3" customFormat="1" ht="15.6" customHeight="1" x14ac:dyDescent="0.15">
      <c r="A52" s="49"/>
      <c r="B52" s="258"/>
      <c r="C52" s="258"/>
      <c r="D52" s="253"/>
      <c r="E52" s="253"/>
      <c r="F52" s="253"/>
      <c r="G52" s="253"/>
      <c r="H52" s="253"/>
      <c r="I52" s="253"/>
      <c r="J52" s="253"/>
      <c r="K52" s="253"/>
      <c r="L52" s="253"/>
      <c r="M52" s="253"/>
      <c r="N52" s="253"/>
      <c r="O52" s="253"/>
      <c r="P52" s="261"/>
      <c r="Q52" s="261"/>
      <c r="R52" s="258"/>
      <c r="S52" s="253"/>
      <c r="T52" s="253"/>
      <c r="U52" s="253"/>
      <c r="V52" s="253"/>
      <c r="W52" s="259"/>
      <c r="X52" s="259"/>
      <c r="Y52" s="261"/>
      <c r="Z52" s="37"/>
      <c r="AA52" s="261"/>
      <c r="AB52" s="261"/>
      <c r="AC52" s="259"/>
      <c r="AD52" s="259"/>
      <c r="AE52" s="253"/>
      <c r="AF52" s="253"/>
      <c r="AG52" s="253"/>
      <c r="AH52" s="16"/>
      <c r="AI52" s="16"/>
      <c r="AJ52" s="16"/>
      <c r="AK52" s="16"/>
      <c r="AL52" s="16"/>
      <c r="AM52" s="16"/>
      <c r="AN52" s="14"/>
      <c r="AO52" s="14"/>
      <c r="AY52" s="79"/>
      <c r="AZ52" s="79"/>
    </row>
    <row r="53" spans="1:52" s="3" customFormat="1" ht="15.6" customHeight="1" x14ac:dyDescent="0.15">
      <c r="A53" s="49"/>
      <c r="B53" s="258"/>
      <c r="C53" s="258"/>
      <c r="D53" s="253"/>
      <c r="E53" s="253"/>
      <c r="F53" s="253"/>
      <c r="G53" s="253"/>
      <c r="H53" s="253"/>
      <c r="I53" s="253"/>
      <c r="J53" s="253"/>
      <c r="K53" s="253"/>
      <c r="L53" s="253"/>
      <c r="M53" s="253"/>
      <c r="N53" s="253"/>
      <c r="O53" s="253"/>
      <c r="P53" s="261"/>
      <c r="Q53" s="261"/>
      <c r="R53" s="258"/>
      <c r="S53" s="253"/>
      <c r="T53" s="253"/>
      <c r="U53" s="253"/>
      <c r="V53" s="253"/>
      <c r="W53" s="259"/>
      <c r="X53" s="259"/>
      <c r="Y53" s="261"/>
      <c r="Z53" s="37"/>
      <c r="AA53" s="261"/>
      <c r="AB53" s="261"/>
      <c r="AC53" s="259"/>
      <c r="AD53" s="259"/>
      <c r="AE53" s="253"/>
      <c r="AF53" s="253"/>
      <c r="AG53" s="253"/>
      <c r="AH53" s="16"/>
      <c r="AI53" s="16"/>
      <c r="AJ53" s="16"/>
      <c r="AK53" s="16"/>
      <c r="AL53" s="16"/>
      <c r="AM53" s="16"/>
      <c r="AN53" s="14"/>
      <c r="AO53" s="14"/>
      <c r="AY53" s="79"/>
      <c r="AZ53" s="79"/>
    </row>
    <row r="54" spans="1:52" s="3" customFormat="1" ht="15.6" customHeight="1" x14ac:dyDescent="0.15">
      <c r="A54" s="49"/>
      <c r="B54" s="258"/>
      <c r="C54" s="258"/>
      <c r="D54" s="253"/>
      <c r="E54" s="253"/>
      <c r="F54" s="253"/>
      <c r="G54" s="253"/>
      <c r="H54" s="253"/>
      <c r="I54" s="253"/>
      <c r="J54" s="253"/>
      <c r="K54" s="253"/>
      <c r="L54" s="253"/>
      <c r="M54" s="253"/>
      <c r="N54" s="253"/>
      <c r="O54" s="253"/>
      <c r="P54" s="261"/>
      <c r="Q54" s="261"/>
      <c r="R54" s="258"/>
      <c r="S54" s="253"/>
      <c r="T54" s="253"/>
      <c r="U54" s="253"/>
      <c r="V54" s="253"/>
      <c r="W54" s="259"/>
      <c r="X54" s="259"/>
      <c r="Y54" s="261"/>
      <c r="Z54" s="37"/>
      <c r="AA54" s="261"/>
      <c r="AB54" s="261"/>
      <c r="AC54" s="259"/>
      <c r="AD54" s="259"/>
      <c r="AE54" s="253"/>
      <c r="AF54" s="253"/>
      <c r="AG54" s="253"/>
      <c r="AH54" s="16"/>
      <c r="AI54" s="16"/>
      <c r="AJ54" s="16"/>
      <c r="AK54" s="16"/>
      <c r="AL54" s="16"/>
      <c r="AM54" s="16"/>
      <c r="AN54" s="14"/>
      <c r="AO54" s="14"/>
      <c r="AY54" s="79"/>
      <c r="AZ54" s="79"/>
    </row>
    <row r="55" spans="1:52" s="3" customFormat="1" ht="15.6" customHeight="1" x14ac:dyDescent="0.15">
      <c r="A55" s="50" t="s">
        <v>125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4"/>
      <c r="AO55" s="14"/>
      <c r="AY55" s="79"/>
      <c r="AZ55" s="79"/>
    </row>
    <row r="56" spans="1:52" s="3" customFormat="1" ht="15.6" customHeight="1" x14ac:dyDescent="0.15">
      <c r="A56" s="54"/>
      <c r="B56" s="644" t="s">
        <v>25</v>
      </c>
      <c r="C56" s="645"/>
      <c r="D56" s="645"/>
      <c r="E56" s="646"/>
      <c r="F56" s="647" t="s">
        <v>26</v>
      </c>
      <c r="G56" s="647"/>
      <c r="H56" s="647"/>
      <c r="I56" s="647"/>
      <c r="J56" s="647" t="s">
        <v>83</v>
      </c>
      <c r="K56" s="647"/>
      <c r="L56" s="647"/>
      <c r="M56" s="647"/>
      <c r="N56" s="647" t="s">
        <v>27</v>
      </c>
      <c r="O56" s="647"/>
      <c r="P56" s="647"/>
      <c r="Q56" s="647"/>
      <c r="R56" s="647" t="s">
        <v>84</v>
      </c>
      <c r="S56" s="647"/>
      <c r="T56" s="647"/>
      <c r="U56" s="647"/>
      <c r="V56" s="647" t="s">
        <v>85</v>
      </c>
      <c r="W56" s="647"/>
      <c r="X56" s="647"/>
      <c r="Y56" s="647"/>
      <c r="Z56" s="647" t="s">
        <v>28</v>
      </c>
      <c r="AA56" s="647"/>
      <c r="AB56" s="647"/>
      <c r="AC56" s="647"/>
      <c r="AD56" s="644" t="s">
        <v>29</v>
      </c>
      <c r="AE56" s="645"/>
      <c r="AF56" s="645"/>
      <c r="AG56" s="646"/>
      <c r="AH56" s="16"/>
      <c r="AI56" s="16"/>
      <c r="AJ56" s="16"/>
      <c r="AK56" s="16"/>
      <c r="AL56" s="16"/>
      <c r="AM56" s="16"/>
      <c r="AN56" s="14"/>
      <c r="AO56" s="14"/>
      <c r="AY56" s="79"/>
      <c r="AZ56" s="79"/>
    </row>
    <row r="57" spans="1:52" s="14" customFormat="1" ht="15.6" customHeight="1" x14ac:dyDescent="0.15">
      <c r="B57" s="701" t="s">
        <v>192</v>
      </c>
      <c r="C57" s="702"/>
      <c r="D57" s="702"/>
      <c r="E57" s="703"/>
      <c r="F57" s="829" t="s">
        <v>9</v>
      </c>
      <c r="G57" s="830"/>
      <c r="H57" s="830"/>
      <c r="I57" s="831"/>
      <c r="J57" s="613">
        <f>1275+3</f>
        <v>1278</v>
      </c>
      <c r="K57" s="614"/>
      <c r="L57" s="614"/>
      <c r="M57" s="615"/>
      <c r="N57" s="613">
        <v>115</v>
      </c>
      <c r="O57" s="614"/>
      <c r="P57" s="614"/>
      <c r="Q57" s="615"/>
      <c r="R57" s="613">
        <v>373</v>
      </c>
      <c r="S57" s="614"/>
      <c r="T57" s="614"/>
      <c r="U57" s="615"/>
      <c r="V57" s="613">
        <v>285</v>
      </c>
      <c r="W57" s="614"/>
      <c r="X57" s="614"/>
      <c r="Y57" s="615"/>
      <c r="Z57" s="613">
        <v>510</v>
      </c>
      <c r="AA57" s="614"/>
      <c r="AB57" s="614"/>
      <c r="AC57" s="615"/>
      <c r="AD57" s="613">
        <f>SUM(J57:AC57)</f>
        <v>2561</v>
      </c>
      <c r="AE57" s="614"/>
      <c r="AF57" s="614"/>
      <c r="AG57" s="615"/>
      <c r="AQ57" s="85"/>
      <c r="AR57" s="85"/>
      <c r="AY57" s="80"/>
      <c r="AZ57" s="80"/>
    </row>
    <row r="58" spans="1:52" s="14" customFormat="1" ht="15.6" customHeight="1" x14ac:dyDescent="0.15">
      <c r="B58" s="711"/>
      <c r="C58" s="712"/>
      <c r="D58" s="712"/>
      <c r="E58" s="713"/>
      <c r="F58" s="832" t="s">
        <v>30</v>
      </c>
      <c r="G58" s="833"/>
      <c r="H58" s="833"/>
      <c r="I58" s="834"/>
      <c r="J58" s="835">
        <f>J57/$AD$57</f>
        <v>0.49902381882077312</v>
      </c>
      <c r="K58" s="836"/>
      <c r="L58" s="836"/>
      <c r="M58" s="837"/>
      <c r="N58" s="835">
        <f>N57/$AD$57</f>
        <v>4.4904334244435767E-2</v>
      </c>
      <c r="O58" s="836"/>
      <c r="P58" s="836"/>
      <c r="Q58" s="837"/>
      <c r="R58" s="835">
        <f>R57/$AD$57</f>
        <v>0.14564623194064819</v>
      </c>
      <c r="S58" s="836"/>
      <c r="T58" s="836"/>
      <c r="U58" s="837"/>
      <c r="V58" s="835">
        <f>V57/$AD$57</f>
        <v>0.11128465443186256</v>
      </c>
      <c r="W58" s="836"/>
      <c r="X58" s="836"/>
      <c r="Y58" s="837"/>
      <c r="Z58" s="835">
        <f>Z57/$AD$57</f>
        <v>0.19914096056228037</v>
      </c>
      <c r="AA58" s="836"/>
      <c r="AB58" s="836"/>
      <c r="AC58" s="837"/>
      <c r="AD58" s="835">
        <v>1</v>
      </c>
      <c r="AE58" s="836"/>
      <c r="AF58" s="836"/>
      <c r="AG58" s="837"/>
      <c r="AJ58" s="84"/>
      <c r="AQ58" s="653"/>
      <c r="AR58" s="654"/>
      <c r="AY58" s="80"/>
      <c r="AZ58" s="80"/>
    </row>
    <row r="59" spans="1:52" s="14" customFormat="1" ht="15.6" customHeight="1" x14ac:dyDescent="0.15">
      <c r="B59" s="701" t="s">
        <v>154</v>
      </c>
      <c r="C59" s="702"/>
      <c r="D59" s="702"/>
      <c r="E59" s="703"/>
      <c r="F59" s="829" t="s">
        <v>9</v>
      </c>
      <c r="G59" s="830"/>
      <c r="H59" s="830"/>
      <c r="I59" s="831"/>
      <c r="J59" s="613">
        <v>1257</v>
      </c>
      <c r="K59" s="614"/>
      <c r="L59" s="614"/>
      <c r="M59" s="615"/>
      <c r="N59" s="613">
        <v>121</v>
      </c>
      <c r="O59" s="614"/>
      <c r="P59" s="614"/>
      <c r="Q59" s="615"/>
      <c r="R59" s="613">
        <v>362</v>
      </c>
      <c r="S59" s="614"/>
      <c r="T59" s="614"/>
      <c r="U59" s="615"/>
      <c r="V59" s="613">
        <v>288</v>
      </c>
      <c r="W59" s="614"/>
      <c r="X59" s="614"/>
      <c r="Y59" s="615"/>
      <c r="Z59" s="613">
        <v>510</v>
      </c>
      <c r="AA59" s="614"/>
      <c r="AB59" s="614"/>
      <c r="AC59" s="615"/>
      <c r="AD59" s="613">
        <f>SUM(J59:AC59)</f>
        <v>2538</v>
      </c>
      <c r="AE59" s="614"/>
      <c r="AF59" s="614"/>
      <c r="AG59" s="615"/>
      <c r="AJ59" s="84"/>
      <c r="AQ59" s="654"/>
      <c r="AR59" s="654"/>
      <c r="AY59" s="80"/>
      <c r="AZ59" s="80"/>
    </row>
    <row r="60" spans="1:52" s="14" customFormat="1" ht="15.6" customHeight="1" x14ac:dyDescent="0.15">
      <c r="B60" s="711"/>
      <c r="C60" s="712"/>
      <c r="D60" s="712"/>
      <c r="E60" s="713"/>
      <c r="F60" s="832" t="s">
        <v>30</v>
      </c>
      <c r="G60" s="833"/>
      <c r="H60" s="833"/>
      <c r="I60" s="834"/>
      <c r="J60" s="835">
        <f>J59/$AD$59</f>
        <v>0.49527186761229314</v>
      </c>
      <c r="K60" s="836"/>
      <c r="L60" s="836"/>
      <c r="M60" s="837"/>
      <c r="N60" s="835">
        <f>N59/AD59</f>
        <v>4.7675334909377462E-2</v>
      </c>
      <c r="O60" s="836"/>
      <c r="P60" s="836"/>
      <c r="Q60" s="837"/>
      <c r="R60" s="835">
        <f>R59/AD59</f>
        <v>0.14263199369582349</v>
      </c>
      <c r="S60" s="836"/>
      <c r="T60" s="836"/>
      <c r="U60" s="837"/>
      <c r="V60" s="835">
        <f>V59/AD59</f>
        <v>0.11347517730496454</v>
      </c>
      <c r="W60" s="836"/>
      <c r="X60" s="836"/>
      <c r="Y60" s="837"/>
      <c r="Z60" s="835">
        <v>0.20100000000000001</v>
      </c>
      <c r="AA60" s="836"/>
      <c r="AB60" s="836"/>
      <c r="AC60" s="837"/>
      <c r="AD60" s="661">
        <v>1</v>
      </c>
      <c r="AE60" s="662"/>
      <c r="AF60" s="662"/>
      <c r="AG60" s="663"/>
      <c r="AJ60" s="84"/>
      <c r="AQ60" s="654"/>
      <c r="AR60" s="654"/>
      <c r="AY60" s="80"/>
      <c r="AZ60" s="80"/>
    </row>
    <row r="61" spans="1:52" s="14" customFormat="1" ht="15.6" customHeight="1" x14ac:dyDescent="0.15">
      <c r="A61" s="16"/>
      <c r="B61" s="667" t="s">
        <v>31</v>
      </c>
      <c r="C61" s="668"/>
      <c r="D61" s="668"/>
      <c r="E61" s="669"/>
      <c r="F61" s="673" t="s">
        <v>9</v>
      </c>
      <c r="G61" s="673"/>
      <c r="H61" s="673"/>
      <c r="I61" s="673"/>
      <c r="J61" s="674">
        <f>J57-J59</f>
        <v>21</v>
      </c>
      <c r="K61" s="674"/>
      <c r="L61" s="674"/>
      <c r="M61" s="674"/>
      <c r="N61" s="674">
        <f>N57-N59</f>
        <v>-6</v>
      </c>
      <c r="O61" s="674"/>
      <c r="P61" s="674"/>
      <c r="Q61" s="674"/>
      <c r="R61" s="674">
        <f>R57-R59</f>
        <v>11</v>
      </c>
      <c r="S61" s="674"/>
      <c r="T61" s="674"/>
      <c r="U61" s="674"/>
      <c r="V61" s="674">
        <f>V57-V59</f>
        <v>-3</v>
      </c>
      <c r="W61" s="674"/>
      <c r="X61" s="674"/>
      <c r="Y61" s="674"/>
      <c r="Z61" s="674">
        <f>Z57-Z59</f>
        <v>0</v>
      </c>
      <c r="AA61" s="674"/>
      <c r="AB61" s="674"/>
      <c r="AC61" s="674"/>
      <c r="AD61" s="675">
        <f>SUM(J61:AC61)</f>
        <v>23</v>
      </c>
      <c r="AE61" s="676"/>
      <c r="AF61" s="676"/>
      <c r="AG61" s="677"/>
      <c r="AH61" s="16"/>
      <c r="AI61" s="16"/>
      <c r="AJ61" s="16"/>
      <c r="AK61" s="16"/>
      <c r="AL61" s="16"/>
      <c r="AM61" s="16"/>
      <c r="AQ61" s="654"/>
      <c r="AR61" s="654"/>
      <c r="AY61" s="80"/>
      <c r="AZ61" s="80"/>
    </row>
    <row r="62" spans="1:52" s="14" customFormat="1" ht="15.6" customHeight="1" x14ac:dyDescent="0.15">
      <c r="A62" s="16"/>
      <c r="B62" s="670"/>
      <c r="C62" s="671"/>
      <c r="D62" s="671"/>
      <c r="E62" s="672"/>
      <c r="F62" s="692" t="s">
        <v>32</v>
      </c>
      <c r="G62" s="692"/>
      <c r="H62" s="692"/>
      <c r="I62" s="692"/>
      <c r="J62" s="693">
        <f>J57/J59</f>
        <v>1.0167064439140812</v>
      </c>
      <c r="K62" s="693"/>
      <c r="L62" s="693"/>
      <c r="M62" s="693"/>
      <c r="N62" s="693">
        <f>N57/N59</f>
        <v>0.95041322314049592</v>
      </c>
      <c r="O62" s="693"/>
      <c r="P62" s="693"/>
      <c r="Q62" s="693"/>
      <c r="R62" s="693">
        <f>R57/R59</f>
        <v>1.0303867403314917</v>
      </c>
      <c r="S62" s="693"/>
      <c r="T62" s="693"/>
      <c r="U62" s="693"/>
      <c r="V62" s="693">
        <f>V57/V59</f>
        <v>0.98958333333333337</v>
      </c>
      <c r="W62" s="693"/>
      <c r="X62" s="693"/>
      <c r="Y62" s="693"/>
      <c r="Z62" s="693">
        <f>Z57/Z59</f>
        <v>1</v>
      </c>
      <c r="AA62" s="693"/>
      <c r="AB62" s="693"/>
      <c r="AC62" s="693"/>
      <c r="AD62" s="694">
        <f>AD57/AD59</f>
        <v>1.0090622537431049</v>
      </c>
      <c r="AE62" s="695"/>
      <c r="AF62" s="695"/>
      <c r="AG62" s="696"/>
      <c r="AH62" s="16"/>
      <c r="AI62" s="16"/>
      <c r="AJ62" s="16"/>
      <c r="AK62" s="16"/>
      <c r="AL62" s="16"/>
      <c r="AM62" s="16"/>
      <c r="AQ62" s="654"/>
      <c r="AR62" s="654"/>
      <c r="AY62" s="80"/>
      <c r="AZ62" s="80"/>
    </row>
    <row r="63" spans="1:52" s="3" customFormat="1" ht="15.6" customHeight="1" x14ac:dyDescent="0.15">
      <c r="A63" s="49"/>
      <c r="B63" s="258"/>
      <c r="C63" s="258"/>
      <c r="D63" s="253"/>
      <c r="E63" s="253"/>
      <c r="F63" s="253"/>
      <c r="G63" s="253"/>
      <c r="H63" s="247"/>
      <c r="I63" s="261"/>
      <c r="J63" s="261"/>
      <c r="K63" s="261"/>
      <c r="L63" s="261"/>
      <c r="M63" s="258"/>
      <c r="N63" s="261"/>
      <c r="O63" s="261"/>
      <c r="P63" s="261"/>
      <c r="Q63" s="261"/>
      <c r="R63" s="258"/>
      <c r="S63" s="253"/>
      <c r="T63" s="253"/>
      <c r="U63" s="253"/>
      <c r="V63" s="253"/>
      <c r="W63" s="259"/>
      <c r="X63" s="259"/>
      <c r="Y63" s="261"/>
      <c r="Z63" s="37"/>
      <c r="AA63" s="261"/>
      <c r="AB63" s="261"/>
      <c r="AC63" s="259"/>
      <c r="AD63" s="259"/>
      <c r="AE63" s="253"/>
      <c r="AF63" s="253"/>
      <c r="AG63" s="253"/>
      <c r="AH63" s="16"/>
      <c r="AI63" s="16"/>
      <c r="AJ63" s="16"/>
      <c r="AK63" s="16"/>
      <c r="AL63" s="16"/>
      <c r="AM63" s="16"/>
      <c r="AN63" s="14"/>
      <c r="AO63" s="14"/>
      <c r="AQ63" s="654"/>
      <c r="AR63" s="654"/>
      <c r="AY63" s="79"/>
      <c r="AZ63" s="79"/>
    </row>
    <row r="64" spans="1:52" s="3" customFormat="1" ht="15.6" customHeight="1" x14ac:dyDescent="0.15">
      <c r="A64" s="56" t="s">
        <v>110</v>
      </c>
      <c r="B64" s="24"/>
      <c r="C64" s="24"/>
      <c r="D64" s="24"/>
      <c r="E64" s="24"/>
      <c r="F64" s="24"/>
      <c r="G64" s="46" t="s">
        <v>153</v>
      </c>
      <c r="H64" s="45"/>
      <c r="I64" s="45"/>
      <c r="J64" s="45"/>
      <c r="K64" s="45"/>
      <c r="L64" s="45"/>
      <c r="M64" s="45"/>
      <c r="N64" s="45"/>
      <c r="O64" s="36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36" t="s">
        <v>40</v>
      </c>
      <c r="AH64" s="16"/>
      <c r="AI64" s="16"/>
      <c r="AJ64" s="16"/>
      <c r="AK64" s="16"/>
      <c r="AL64" s="16"/>
      <c r="AM64" s="16"/>
      <c r="AN64" s="16"/>
      <c r="AO64" s="16"/>
      <c r="AP64" s="16"/>
      <c r="AQ64" s="654"/>
      <c r="AR64" s="654"/>
      <c r="AS64" s="16"/>
      <c r="AT64" s="16"/>
      <c r="AU64" s="16"/>
      <c r="AY64" s="79"/>
      <c r="AZ64" s="79"/>
    </row>
    <row r="65" spans="1:52" s="3" customFormat="1" ht="15.6" customHeight="1" x14ac:dyDescent="0.15">
      <c r="A65" s="49"/>
      <c r="B65" s="678" t="s">
        <v>25</v>
      </c>
      <c r="C65" s="679"/>
      <c r="D65" s="680"/>
      <c r="E65" s="684" t="s">
        <v>41</v>
      </c>
      <c r="F65" s="685"/>
      <c r="G65" s="686"/>
      <c r="H65" s="684" t="s">
        <v>42</v>
      </c>
      <c r="I65" s="685"/>
      <c r="J65" s="686"/>
      <c r="K65" s="684" t="s">
        <v>43</v>
      </c>
      <c r="L65" s="685"/>
      <c r="M65" s="690" t="s">
        <v>44</v>
      </c>
      <c r="N65" s="690"/>
      <c r="O65" s="690" t="s">
        <v>45</v>
      </c>
      <c r="P65" s="690"/>
      <c r="Q65" s="690"/>
      <c r="R65" s="684" t="s">
        <v>46</v>
      </c>
      <c r="S65" s="686"/>
      <c r="T65" s="684" t="s">
        <v>47</v>
      </c>
      <c r="U65" s="686"/>
      <c r="V65" s="690" t="s">
        <v>48</v>
      </c>
      <c r="W65" s="690"/>
      <c r="X65" s="690" t="s">
        <v>112</v>
      </c>
      <c r="Y65" s="690"/>
      <c r="Z65" s="684" t="s">
        <v>113</v>
      </c>
      <c r="AA65" s="685"/>
      <c r="AB65" s="686"/>
      <c r="AC65" s="697" t="s">
        <v>128</v>
      </c>
      <c r="AD65" s="698"/>
      <c r="AE65" s="684" t="s">
        <v>82</v>
      </c>
      <c r="AF65" s="685"/>
      <c r="AG65" s="686"/>
      <c r="AH65" s="16"/>
      <c r="AI65" s="16"/>
      <c r="AJ65" s="16"/>
      <c r="AK65" s="16"/>
      <c r="AL65" s="16"/>
      <c r="AM65" s="16"/>
      <c r="AN65" s="16"/>
      <c r="AO65" s="16"/>
      <c r="AP65" s="16"/>
      <c r="AQ65" s="654"/>
      <c r="AR65" s="654"/>
      <c r="AS65" s="16"/>
      <c r="AT65" s="16"/>
      <c r="AU65" s="16"/>
      <c r="AY65" s="79"/>
      <c r="AZ65" s="79"/>
    </row>
    <row r="66" spans="1:52" s="3" customFormat="1" ht="15.6" customHeight="1" x14ac:dyDescent="0.15">
      <c r="A66" s="49"/>
      <c r="B66" s="681"/>
      <c r="C66" s="682"/>
      <c r="D66" s="683"/>
      <c r="E66" s="687"/>
      <c r="F66" s="688"/>
      <c r="G66" s="689"/>
      <c r="H66" s="687"/>
      <c r="I66" s="688"/>
      <c r="J66" s="689"/>
      <c r="K66" s="687"/>
      <c r="L66" s="688"/>
      <c r="M66" s="691"/>
      <c r="N66" s="691"/>
      <c r="O66" s="691"/>
      <c r="P66" s="691"/>
      <c r="Q66" s="691"/>
      <c r="R66" s="687"/>
      <c r="S66" s="689"/>
      <c r="T66" s="687"/>
      <c r="U66" s="689"/>
      <c r="V66" s="691"/>
      <c r="W66" s="691"/>
      <c r="X66" s="691"/>
      <c r="Y66" s="691"/>
      <c r="Z66" s="687"/>
      <c r="AA66" s="688"/>
      <c r="AB66" s="689"/>
      <c r="AC66" s="699"/>
      <c r="AD66" s="700"/>
      <c r="AE66" s="687"/>
      <c r="AF66" s="688"/>
      <c r="AG66" s="689"/>
      <c r="AH66" s="16"/>
      <c r="AI66" s="16"/>
      <c r="AJ66" s="16"/>
      <c r="AK66" s="16"/>
      <c r="AL66" s="16"/>
      <c r="AM66" s="16"/>
      <c r="AN66" s="16"/>
      <c r="AO66" s="16"/>
      <c r="AP66" s="16"/>
      <c r="AQ66" s="654"/>
      <c r="AR66" s="654"/>
      <c r="AS66" s="16"/>
      <c r="AT66" s="16"/>
      <c r="AU66" s="16"/>
      <c r="AY66" s="79"/>
      <c r="AZ66" s="79"/>
    </row>
    <row r="67" spans="1:52" s="14" customFormat="1" ht="15.6" customHeight="1" x14ac:dyDescent="0.15">
      <c r="A67" s="262"/>
      <c r="B67" s="701" t="s">
        <v>86</v>
      </c>
      <c r="C67" s="702"/>
      <c r="D67" s="703"/>
      <c r="E67" s="667">
        <v>2223</v>
      </c>
      <c r="F67" s="668"/>
      <c r="G67" s="669"/>
      <c r="H67" s="667">
        <v>2339</v>
      </c>
      <c r="I67" s="668"/>
      <c r="J67" s="669"/>
      <c r="K67" s="667">
        <v>119</v>
      </c>
      <c r="L67" s="668"/>
      <c r="M67" s="673">
        <v>586</v>
      </c>
      <c r="N67" s="673"/>
      <c r="O67" s="673">
        <v>2141</v>
      </c>
      <c r="P67" s="673"/>
      <c r="Q67" s="673"/>
      <c r="R67" s="667">
        <v>0</v>
      </c>
      <c r="S67" s="669"/>
      <c r="T67" s="667">
        <v>60</v>
      </c>
      <c r="U67" s="669"/>
      <c r="V67" s="673">
        <v>11</v>
      </c>
      <c r="W67" s="673"/>
      <c r="X67" s="673">
        <v>12</v>
      </c>
      <c r="Y67" s="673"/>
      <c r="Z67" s="717">
        <v>1</v>
      </c>
      <c r="AA67" s="718"/>
      <c r="AB67" s="719"/>
      <c r="AC67" s="717">
        <v>0</v>
      </c>
      <c r="AD67" s="719"/>
      <c r="AE67" s="667">
        <f>SUM(E67:AD68)</f>
        <v>7492</v>
      </c>
      <c r="AF67" s="668"/>
      <c r="AG67" s="669"/>
      <c r="AH67" s="541"/>
      <c r="AI67" s="541"/>
      <c r="AJ67" s="541"/>
      <c r="AK67" s="541"/>
      <c r="AL67" s="541"/>
      <c r="AM67" s="541"/>
      <c r="AN67" s="541"/>
      <c r="AO67" s="541"/>
      <c r="AP67" s="262"/>
      <c r="AQ67" s="654"/>
      <c r="AR67" s="654"/>
      <c r="AS67" s="262"/>
      <c r="AT67" s="262"/>
      <c r="AU67" s="262"/>
      <c r="AY67" s="80"/>
      <c r="AZ67" s="80"/>
    </row>
    <row r="68" spans="1:52" s="14" customFormat="1" ht="15.6" customHeight="1" x14ac:dyDescent="0.15">
      <c r="A68" s="262"/>
      <c r="B68" s="711"/>
      <c r="C68" s="712"/>
      <c r="D68" s="713"/>
      <c r="E68" s="670"/>
      <c r="F68" s="671"/>
      <c r="G68" s="672"/>
      <c r="H68" s="670"/>
      <c r="I68" s="671"/>
      <c r="J68" s="672"/>
      <c r="K68" s="670"/>
      <c r="L68" s="671"/>
      <c r="M68" s="714"/>
      <c r="N68" s="714"/>
      <c r="O68" s="714"/>
      <c r="P68" s="714"/>
      <c r="Q68" s="714"/>
      <c r="R68" s="670"/>
      <c r="S68" s="672"/>
      <c r="T68" s="670"/>
      <c r="U68" s="672"/>
      <c r="V68" s="714"/>
      <c r="W68" s="714"/>
      <c r="X68" s="714"/>
      <c r="Y68" s="714"/>
      <c r="Z68" s="727"/>
      <c r="AA68" s="728"/>
      <c r="AB68" s="729"/>
      <c r="AC68" s="727"/>
      <c r="AD68" s="729"/>
      <c r="AE68" s="670"/>
      <c r="AF68" s="671"/>
      <c r="AG68" s="672"/>
      <c r="AH68" s="541"/>
      <c r="AI68" s="541"/>
      <c r="AJ68" s="541"/>
      <c r="AK68" s="541"/>
      <c r="AL68" s="541"/>
      <c r="AM68" s="541"/>
      <c r="AN68" s="541"/>
      <c r="AO68" s="541"/>
      <c r="AP68" s="262"/>
      <c r="AQ68" s="654"/>
      <c r="AR68" s="654"/>
      <c r="AS68" s="262"/>
      <c r="AT68" s="262"/>
      <c r="AU68" s="262"/>
      <c r="AY68" s="80"/>
      <c r="AZ68" s="80"/>
    </row>
    <row r="69" spans="1:52" s="14" customFormat="1" ht="15.6" customHeight="1" x14ac:dyDescent="0.15">
      <c r="A69" s="262"/>
      <c r="B69" s="701" t="s">
        <v>87</v>
      </c>
      <c r="C69" s="702"/>
      <c r="D69" s="703"/>
      <c r="E69" s="667">
        <v>2863</v>
      </c>
      <c r="F69" s="668"/>
      <c r="G69" s="669"/>
      <c r="H69" s="667">
        <v>2981</v>
      </c>
      <c r="I69" s="668"/>
      <c r="J69" s="669"/>
      <c r="K69" s="667">
        <v>175</v>
      </c>
      <c r="L69" s="668"/>
      <c r="M69" s="673">
        <v>606</v>
      </c>
      <c r="N69" s="673"/>
      <c r="O69" s="673">
        <v>2663</v>
      </c>
      <c r="P69" s="673"/>
      <c r="Q69" s="673"/>
      <c r="R69" s="667">
        <v>0</v>
      </c>
      <c r="S69" s="669"/>
      <c r="T69" s="667">
        <v>69</v>
      </c>
      <c r="U69" s="669"/>
      <c r="V69" s="673">
        <v>11</v>
      </c>
      <c r="W69" s="673"/>
      <c r="X69" s="673">
        <v>12</v>
      </c>
      <c r="Y69" s="673"/>
      <c r="Z69" s="717">
        <v>1</v>
      </c>
      <c r="AA69" s="718"/>
      <c r="AB69" s="719"/>
      <c r="AC69" s="717">
        <v>0</v>
      </c>
      <c r="AD69" s="719"/>
      <c r="AE69" s="723">
        <f>SUM(E69:AC70)</f>
        <v>9381</v>
      </c>
      <c r="AF69" s="724"/>
      <c r="AG69" s="725"/>
      <c r="AH69" s="541"/>
      <c r="AI69" s="541"/>
      <c r="AJ69" s="541"/>
      <c r="AK69" s="541"/>
      <c r="AL69" s="541"/>
      <c r="AM69" s="541"/>
      <c r="AN69" s="541"/>
      <c r="AO69" s="541"/>
      <c r="AP69" s="262"/>
      <c r="AQ69" s="86"/>
      <c r="AR69" s="86"/>
      <c r="AS69" s="262"/>
      <c r="AT69" s="262"/>
      <c r="AU69" s="262"/>
      <c r="AY69" s="80"/>
      <c r="AZ69" s="80"/>
    </row>
    <row r="70" spans="1:52" s="14" customFormat="1" ht="15.6" customHeight="1" thickBot="1" x14ac:dyDescent="0.2">
      <c r="A70" s="16"/>
      <c r="B70" s="704"/>
      <c r="C70" s="705"/>
      <c r="D70" s="706"/>
      <c r="E70" s="707"/>
      <c r="F70" s="708"/>
      <c r="G70" s="709"/>
      <c r="H70" s="707"/>
      <c r="I70" s="708"/>
      <c r="J70" s="709"/>
      <c r="K70" s="707"/>
      <c r="L70" s="708"/>
      <c r="M70" s="710"/>
      <c r="N70" s="710"/>
      <c r="O70" s="710"/>
      <c r="P70" s="710"/>
      <c r="Q70" s="710"/>
      <c r="R70" s="707"/>
      <c r="S70" s="709"/>
      <c r="T70" s="707"/>
      <c r="U70" s="709"/>
      <c r="V70" s="710"/>
      <c r="W70" s="710"/>
      <c r="X70" s="710"/>
      <c r="Y70" s="710"/>
      <c r="Z70" s="720"/>
      <c r="AA70" s="721"/>
      <c r="AB70" s="722"/>
      <c r="AC70" s="720"/>
      <c r="AD70" s="722"/>
      <c r="AE70" s="707"/>
      <c r="AF70" s="708"/>
      <c r="AG70" s="709"/>
      <c r="AH70" s="16"/>
      <c r="AI70" s="16"/>
      <c r="AJ70" s="16"/>
      <c r="AK70" s="16"/>
      <c r="AL70" s="16"/>
      <c r="AM70" s="16"/>
      <c r="AN70" s="16"/>
      <c r="AO70" s="16"/>
      <c r="AP70" s="16"/>
      <c r="AQ70" s="87"/>
      <c r="AR70" s="87"/>
      <c r="AS70" s="16"/>
      <c r="AT70" s="16"/>
      <c r="AU70" s="16"/>
      <c r="AY70" s="80"/>
      <c r="AZ70" s="80"/>
    </row>
    <row r="71" spans="1:52" s="14" customFormat="1" ht="15.6" customHeight="1" thickTop="1" x14ac:dyDescent="0.15">
      <c r="A71" s="16"/>
      <c r="B71" s="874" t="s">
        <v>159</v>
      </c>
      <c r="C71" s="875"/>
      <c r="D71" s="876"/>
      <c r="E71" s="847">
        <v>1797333</v>
      </c>
      <c r="F71" s="848"/>
      <c r="G71" s="849"/>
      <c r="H71" s="847">
        <v>1033415</v>
      </c>
      <c r="I71" s="848"/>
      <c r="J71" s="849"/>
      <c r="K71" s="847">
        <v>16563</v>
      </c>
      <c r="L71" s="848"/>
      <c r="M71" s="855">
        <v>196035</v>
      </c>
      <c r="N71" s="855"/>
      <c r="O71" s="855">
        <v>2794624</v>
      </c>
      <c r="P71" s="855"/>
      <c r="Q71" s="855"/>
      <c r="R71" s="847">
        <v>245</v>
      </c>
      <c r="S71" s="849"/>
      <c r="T71" s="847">
        <v>10120</v>
      </c>
      <c r="U71" s="849"/>
      <c r="V71" s="855">
        <v>17768</v>
      </c>
      <c r="W71" s="855"/>
      <c r="X71" s="855">
        <v>26860</v>
      </c>
      <c r="Y71" s="855"/>
      <c r="Z71" s="847">
        <v>1166</v>
      </c>
      <c r="AA71" s="848"/>
      <c r="AB71" s="849"/>
      <c r="AC71" s="870">
        <v>800</v>
      </c>
      <c r="AD71" s="871"/>
      <c r="AE71" s="847">
        <f>SUM(E71:AD72)</f>
        <v>5894929</v>
      </c>
      <c r="AF71" s="848"/>
      <c r="AG71" s="849"/>
      <c r="AH71" s="16"/>
      <c r="AI71" s="537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Y71" s="80"/>
      <c r="AZ71" s="80"/>
    </row>
    <row r="72" spans="1:52" s="14" customFormat="1" ht="15.6" customHeight="1" x14ac:dyDescent="0.15">
      <c r="A72" s="16"/>
      <c r="B72" s="877"/>
      <c r="C72" s="878"/>
      <c r="D72" s="879"/>
      <c r="E72" s="850"/>
      <c r="F72" s="851"/>
      <c r="G72" s="852"/>
      <c r="H72" s="850"/>
      <c r="I72" s="851"/>
      <c r="J72" s="852"/>
      <c r="K72" s="853"/>
      <c r="L72" s="854"/>
      <c r="M72" s="856"/>
      <c r="N72" s="856"/>
      <c r="O72" s="856"/>
      <c r="P72" s="856"/>
      <c r="Q72" s="856"/>
      <c r="R72" s="850"/>
      <c r="S72" s="852"/>
      <c r="T72" s="850"/>
      <c r="U72" s="852"/>
      <c r="V72" s="856"/>
      <c r="W72" s="856"/>
      <c r="X72" s="856"/>
      <c r="Y72" s="856"/>
      <c r="Z72" s="853"/>
      <c r="AA72" s="854"/>
      <c r="AB72" s="864"/>
      <c r="AC72" s="872"/>
      <c r="AD72" s="873"/>
      <c r="AE72" s="853"/>
      <c r="AF72" s="854"/>
      <c r="AG72" s="864"/>
      <c r="AH72" s="16"/>
      <c r="AI72" s="537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Y72" s="80"/>
      <c r="AZ72" s="80"/>
    </row>
    <row r="73" spans="1:52" s="14" customFormat="1" ht="15.6" customHeight="1" x14ac:dyDescent="0.15">
      <c r="A73" s="16"/>
      <c r="B73" s="865" t="s">
        <v>30</v>
      </c>
      <c r="C73" s="866"/>
      <c r="D73" s="867"/>
      <c r="E73" s="858">
        <v>0.3049</v>
      </c>
      <c r="F73" s="859"/>
      <c r="G73" s="860"/>
      <c r="H73" s="858">
        <f>H71/AE71</f>
        <v>0.17530575855960268</v>
      </c>
      <c r="I73" s="859"/>
      <c r="J73" s="860"/>
      <c r="K73" s="858">
        <f>K71/AE71</f>
        <v>2.8097030515549892E-3</v>
      </c>
      <c r="L73" s="860"/>
      <c r="M73" s="858">
        <f>M71/AE71</f>
        <v>3.3254853451161158E-2</v>
      </c>
      <c r="N73" s="859"/>
      <c r="O73" s="858">
        <f>O71/AE71</f>
        <v>0.47407254608155586</v>
      </c>
      <c r="P73" s="859"/>
      <c r="Q73" s="860"/>
      <c r="R73" s="868">
        <f>R71/AE71</f>
        <v>4.1561145180883433E-5</v>
      </c>
      <c r="S73" s="869"/>
      <c r="T73" s="868">
        <f>T71/AE71</f>
        <v>1.7167297519613892E-3</v>
      </c>
      <c r="U73" s="869"/>
      <c r="V73" s="857">
        <f>V71/AE71</f>
        <v>3.0141160309140281E-3</v>
      </c>
      <c r="W73" s="857"/>
      <c r="X73" s="857">
        <f>X71/AE71</f>
        <v>4.5564586104429759E-3</v>
      </c>
      <c r="Y73" s="857"/>
      <c r="Z73" s="858">
        <f>Z71/AE71</f>
        <v>1.9779712359555137E-4</v>
      </c>
      <c r="AA73" s="859"/>
      <c r="AB73" s="860"/>
      <c r="AC73" s="858">
        <f>AC71/AE71</f>
        <v>1.3570986181512959E-4</v>
      </c>
      <c r="AD73" s="860"/>
      <c r="AE73" s="861">
        <v>1</v>
      </c>
      <c r="AF73" s="862"/>
      <c r="AG73" s="863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Y73" s="80"/>
      <c r="AZ73" s="80"/>
    </row>
    <row r="74" spans="1:52" s="3" customFormat="1" ht="15.6" customHeight="1" x14ac:dyDescent="0.15">
      <c r="A74" s="49"/>
      <c r="B74" s="261"/>
      <c r="C74" s="258"/>
      <c r="D74" s="258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70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Y74" s="79"/>
      <c r="AZ74" s="79"/>
    </row>
    <row r="75" spans="1:52" s="3" customFormat="1" ht="15.6" customHeight="1" x14ac:dyDescent="0.15">
      <c r="A75" s="18" t="s">
        <v>71</v>
      </c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248" t="s">
        <v>33</v>
      </c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Y75" s="79"/>
      <c r="AZ75" s="79"/>
    </row>
    <row r="76" spans="1:52" s="3" customFormat="1" ht="15.6" customHeight="1" x14ac:dyDescent="0.15">
      <c r="A76" s="49"/>
      <c r="B76" s="730" t="s">
        <v>34</v>
      </c>
      <c r="C76" s="730"/>
      <c r="D76" s="730"/>
      <c r="E76" s="730"/>
      <c r="F76" s="730"/>
      <c r="G76" s="730"/>
      <c r="H76" s="730" t="s">
        <v>35</v>
      </c>
      <c r="I76" s="730"/>
      <c r="J76" s="730"/>
      <c r="K76" s="730"/>
      <c r="L76" s="730"/>
      <c r="M76" s="730"/>
      <c r="N76" s="730"/>
      <c r="O76" s="730"/>
      <c r="P76" s="730"/>
      <c r="Q76" s="730"/>
      <c r="R76" s="730"/>
      <c r="S76" s="730"/>
      <c r="T76" s="730"/>
      <c r="U76" s="730"/>
      <c r="V76" s="730"/>
      <c r="W76" s="730"/>
      <c r="X76" s="730"/>
      <c r="Y76" s="730"/>
      <c r="Z76" s="549" t="s">
        <v>36</v>
      </c>
      <c r="AA76" s="550"/>
      <c r="AB76" s="550"/>
      <c r="AC76" s="550"/>
      <c r="AD76" s="550"/>
      <c r="AE76" s="550"/>
      <c r="AF76" s="550"/>
      <c r="AG76" s="551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Y76" s="79"/>
      <c r="AZ76" s="79"/>
    </row>
    <row r="77" spans="1:52" s="3" customFormat="1" ht="15.6" customHeight="1" x14ac:dyDescent="0.15">
      <c r="A77" s="49"/>
      <c r="B77" s="730"/>
      <c r="C77" s="730"/>
      <c r="D77" s="730"/>
      <c r="E77" s="730"/>
      <c r="F77" s="730"/>
      <c r="G77" s="730"/>
      <c r="H77" s="730" t="s">
        <v>37</v>
      </c>
      <c r="I77" s="730"/>
      <c r="J77" s="730"/>
      <c r="K77" s="730"/>
      <c r="L77" s="730"/>
      <c r="M77" s="730"/>
      <c r="N77" s="730" t="s">
        <v>38</v>
      </c>
      <c r="O77" s="730"/>
      <c r="P77" s="730"/>
      <c r="Q77" s="730"/>
      <c r="R77" s="730"/>
      <c r="S77" s="730"/>
      <c r="T77" s="730" t="s">
        <v>39</v>
      </c>
      <c r="U77" s="730"/>
      <c r="V77" s="730"/>
      <c r="W77" s="730"/>
      <c r="X77" s="730"/>
      <c r="Y77" s="730"/>
      <c r="Z77" s="552"/>
      <c r="AA77" s="553"/>
      <c r="AB77" s="553"/>
      <c r="AC77" s="553"/>
      <c r="AD77" s="553"/>
      <c r="AE77" s="553"/>
      <c r="AF77" s="553"/>
      <c r="AG77" s="554"/>
      <c r="AH77" s="16"/>
      <c r="AI77" s="16"/>
      <c r="AJ77" s="16"/>
      <c r="AK77" s="16"/>
      <c r="AL77" s="14"/>
      <c r="AM77" s="14"/>
      <c r="AN77" s="14"/>
      <c r="AO77" s="14"/>
      <c r="AY77" s="79"/>
      <c r="AZ77" s="79"/>
    </row>
    <row r="78" spans="1:52" s="3" customFormat="1" ht="15.6" customHeight="1" x14ac:dyDescent="0.15">
      <c r="A78" s="49"/>
      <c r="B78" s="731" t="s">
        <v>136</v>
      </c>
      <c r="C78" s="732"/>
      <c r="D78" s="732"/>
      <c r="E78" s="732"/>
      <c r="F78" s="732"/>
      <c r="G78" s="733"/>
      <c r="H78" s="734">
        <v>5190000</v>
      </c>
      <c r="I78" s="735"/>
      <c r="J78" s="735"/>
      <c r="K78" s="735"/>
      <c r="L78" s="735"/>
      <c r="M78" s="736"/>
      <c r="N78" s="737">
        <v>210000</v>
      </c>
      <c r="O78" s="738"/>
      <c r="P78" s="738"/>
      <c r="Q78" s="738"/>
      <c r="R78" s="738"/>
      <c r="S78" s="739"/>
      <c r="T78" s="734">
        <f t="shared" ref="T78:T81" si="1">SUM(H78:S78)</f>
        <v>5400000</v>
      </c>
      <c r="U78" s="735"/>
      <c r="V78" s="735"/>
      <c r="W78" s="735"/>
      <c r="X78" s="735"/>
      <c r="Y78" s="736"/>
      <c r="Z78" s="740">
        <v>5385302</v>
      </c>
      <c r="AA78" s="741"/>
      <c r="AB78" s="741"/>
      <c r="AC78" s="741"/>
      <c r="AD78" s="741"/>
      <c r="AE78" s="741"/>
      <c r="AF78" s="741"/>
      <c r="AG78" s="742"/>
      <c r="AH78" s="16"/>
      <c r="AI78" s="16"/>
      <c r="AJ78" s="16"/>
      <c r="AK78" s="16"/>
      <c r="AL78" s="14"/>
      <c r="AM78" s="14"/>
      <c r="AN78" s="14"/>
      <c r="AO78" s="14"/>
      <c r="AY78" s="79"/>
      <c r="AZ78" s="79"/>
    </row>
    <row r="79" spans="1:52" s="3" customFormat="1" ht="15.6" customHeight="1" x14ac:dyDescent="0.15">
      <c r="A79" s="49"/>
      <c r="B79" s="731" t="s">
        <v>137</v>
      </c>
      <c r="C79" s="732"/>
      <c r="D79" s="732"/>
      <c r="E79" s="732"/>
      <c r="F79" s="732"/>
      <c r="G79" s="733"/>
      <c r="H79" s="734">
        <v>5300000</v>
      </c>
      <c r="I79" s="735"/>
      <c r="J79" s="735"/>
      <c r="K79" s="735"/>
      <c r="L79" s="735"/>
      <c r="M79" s="736"/>
      <c r="N79" s="737">
        <v>346000</v>
      </c>
      <c r="O79" s="738"/>
      <c r="P79" s="738"/>
      <c r="Q79" s="738"/>
      <c r="R79" s="738"/>
      <c r="S79" s="739"/>
      <c r="T79" s="734">
        <f t="shared" si="1"/>
        <v>5646000</v>
      </c>
      <c r="U79" s="735"/>
      <c r="V79" s="735"/>
      <c r="W79" s="735"/>
      <c r="X79" s="735"/>
      <c r="Y79" s="736"/>
      <c r="Z79" s="740">
        <v>5636644</v>
      </c>
      <c r="AA79" s="741"/>
      <c r="AB79" s="741"/>
      <c r="AC79" s="741"/>
      <c r="AD79" s="741"/>
      <c r="AE79" s="741"/>
      <c r="AF79" s="741"/>
      <c r="AG79" s="742"/>
      <c r="AH79" s="16"/>
      <c r="AI79" s="16"/>
      <c r="AJ79" s="16"/>
      <c r="AK79" s="16"/>
      <c r="AL79" s="14"/>
      <c r="AM79" s="14"/>
      <c r="AN79" s="14"/>
      <c r="AO79" s="14"/>
      <c r="AY79" s="79"/>
      <c r="AZ79" s="79"/>
    </row>
    <row r="80" spans="1:52" s="3" customFormat="1" ht="15.6" customHeight="1" x14ac:dyDescent="0.15">
      <c r="A80" s="49"/>
      <c r="B80" s="731" t="s">
        <v>138</v>
      </c>
      <c r="C80" s="732"/>
      <c r="D80" s="732"/>
      <c r="E80" s="732"/>
      <c r="F80" s="732"/>
      <c r="G80" s="733"/>
      <c r="H80" s="734">
        <v>5310000</v>
      </c>
      <c r="I80" s="735"/>
      <c r="J80" s="735"/>
      <c r="K80" s="735"/>
      <c r="L80" s="735"/>
      <c r="M80" s="736"/>
      <c r="N80" s="743">
        <v>197000</v>
      </c>
      <c r="O80" s="744"/>
      <c r="P80" s="744"/>
      <c r="Q80" s="744"/>
      <c r="R80" s="744"/>
      <c r="S80" s="745"/>
      <c r="T80" s="734">
        <f t="shared" si="1"/>
        <v>5507000</v>
      </c>
      <c r="U80" s="735"/>
      <c r="V80" s="735"/>
      <c r="W80" s="735"/>
      <c r="X80" s="735"/>
      <c r="Y80" s="736"/>
      <c r="Z80" s="734">
        <v>5500325</v>
      </c>
      <c r="AA80" s="735"/>
      <c r="AB80" s="735"/>
      <c r="AC80" s="735"/>
      <c r="AD80" s="735"/>
      <c r="AE80" s="735"/>
      <c r="AF80" s="735"/>
      <c r="AG80" s="736"/>
      <c r="AH80" s="16"/>
      <c r="AI80" s="16"/>
      <c r="AJ80" s="16"/>
      <c r="AK80" s="16"/>
      <c r="AL80" s="16"/>
      <c r="AM80" s="16"/>
      <c r="AN80" s="16"/>
      <c r="AO80" s="16"/>
      <c r="AY80" s="79"/>
      <c r="AZ80" s="79"/>
    </row>
    <row r="81" spans="1:54" s="3" customFormat="1" ht="15.6" customHeight="1" x14ac:dyDescent="0.15">
      <c r="A81" s="49"/>
      <c r="B81" s="746" t="s">
        <v>132</v>
      </c>
      <c r="C81" s="746"/>
      <c r="D81" s="746"/>
      <c r="E81" s="746"/>
      <c r="F81" s="746"/>
      <c r="G81" s="746"/>
      <c r="H81" s="747">
        <v>5510000</v>
      </c>
      <c r="I81" s="748"/>
      <c r="J81" s="748"/>
      <c r="K81" s="748"/>
      <c r="L81" s="748"/>
      <c r="M81" s="749"/>
      <c r="N81" s="743">
        <v>388000</v>
      </c>
      <c r="O81" s="744"/>
      <c r="P81" s="744"/>
      <c r="Q81" s="744"/>
      <c r="R81" s="744"/>
      <c r="S81" s="745"/>
      <c r="T81" s="747">
        <f t="shared" si="1"/>
        <v>5898000</v>
      </c>
      <c r="U81" s="748"/>
      <c r="V81" s="748"/>
      <c r="W81" s="748"/>
      <c r="X81" s="748"/>
      <c r="Y81" s="749"/>
      <c r="Z81" s="747">
        <v>5894929</v>
      </c>
      <c r="AA81" s="748"/>
      <c r="AB81" s="748"/>
      <c r="AC81" s="748"/>
      <c r="AD81" s="748"/>
      <c r="AE81" s="748"/>
      <c r="AF81" s="748"/>
      <c r="AG81" s="749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Y81" s="79"/>
      <c r="AZ81" s="79"/>
    </row>
    <row r="82" spans="1:54" s="14" customFormat="1" ht="15.6" customHeight="1" x14ac:dyDescent="0.15">
      <c r="A82" s="16"/>
      <c r="B82" s="746" t="s">
        <v>145</v>
      </c>
      <c r="C82" s="746"/>
      <c r="D82" s="746"/>
      <c r="E82" s="746"/>
      <c r="F82" s="746"/>
      <c r="G82" s="746"/>
      <c r="H82" s="747">
        <v>5596000</v>
      </c>
      <c r="I82" s="748"/>
      <c r="J82" s="748"/>
      <c r="K82" s="748"/>
      <c r="L82" s="748"/>
      <c r="M82" s="749"/>
      <c r="N82" s="743">
        <v>448000</v>
      </c>
      <c r="O82" s="744"/>
      <c r="P82" s="744"/>
      <c r="Q82" s="744"/>
      <c r="R82" s="744"/>
      <c r="S82" s="745"/>
      <c r="T82" s="747">
        <f>SUM(H82:S82)</f>
        <v>6044000</v>
      </c>
      <c r="U82" s="748"/>
      <c r="V82" s="748"/>
      <c r="W82" s="748"/>
      <c r="X82" s="748"/>
      <c r="Y82" s="749"/>
      <c r="Z82" s="844"/>
      <c r="AA82" s="845"/>
      <c r="AB82" s="845"/>
      <c r="AC82" s="845"/>
      <c r="AD82" s="845"/>
      <c r="AE82" s="845"/>
      <c r="AF82" s="845"/>
      <c r="AG82" s="84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Y82" s="80"/>
      <c r="AZ82" s="80"/>
    </row>
    <row r="83" spans="1:54" s="3" customFormat="1" ht="15.6" customHeight="1" x14ac:dyDescent="0.15">
      <c r="A83" s="49"/>
      <c r="B83" s="258"/>
      <c r="C83" s="258"/>
      <c r="D83" s="258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Y83" s="79"/>
      <c r="AZ83" s="79"/>
    </row>
    <row r="84" spans="1:54" s="1" customFormat="1" ht="15.6" customHeight="1" x14ac:dyDescent="0.15">
      <c r="A84" s="49" t="s">
        <v>49</v>
      </c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2" t="s">
        <v>115</v>
      </c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Y84" s="246"/>
      <c r="AZ84" s="246"/>
    </row>
    <row r="85" spans="1:54" s="1" customFormat="1" ht="15.6" customHeight="1" x14ac:dyDescent="0.15">
      <c r="A85" s="49"/>
      <c r="B85" s="730" t="s">
        <v>78</v>
      </c>
      <c r="C85" s="730"/>
      <c r="D85" s="730"/>
      <c r="E85" s="730"/>
      <c r="F85" s="730"/>
      <c r="G85" s="751" t="s">
        <v>127</v>
      </c>
      <c r="H85" s="752"/>
      <c r="I85" s="752"/>
      <c r="J85" s="752"/>
      <c r="K85" s="753"/>
      <c r="L85" s="751" t="s">
        <v>138</v>
      </c>
      <c r="M85" s="752"/>
      <c r="N85" s="752"/>
      <c r="O85" s="752"/>
      <c r="P85" s="753"/>
      <c r="Q85" s="751" t="s">
        <v>132</v>
      </c>
      <c r="R85" s="752"/>
      <c r="S85" s="752"/>
      <c r="T85" s="752"/>
      <c r="U85" s="753"/>
      <c r="V85" s="754" t="s">
        <v>145</v>
      </c>
      <c r="W85" s="730"/>
      <c r="X85" s="730"/>
      <c r="Y85" s="730"/>
      <c r="Z85" s="730"/>
      <c r="AA85" s="754" t="s">
        <v>177</v>
      </c>
      <c r="AB85" s="730"/>
      <c r="AC85" s="730"/>
      <c r="AD85" s="730"/>
      <c r="AE85" s="730"/>
      <c r="AF85" s="16"/>
      <c r="AG85" s="16"/>
      <c r="AH85" s="16"/>
      <c r="AI85" s="13"/>
      <c r="AJ85" s="13"/>
      <c r="AK85" s="13"/>
      <c r="AL85" s="13"/>
      <c r="AM85" s="13"/>
      <c r="AN85" s="13"/>
      <c r="AO85" s="13"/>
      <c r="AY85" s="246"/>
      <c r="AZ85" s="246"/>
    </row>
    <row r="86" spans="1:54" s="1" customFormat="1" ht="15.6" customHeight="1" x14ac:dyDescent="0.15">
      <c r="A86" s="49"/>
      <c r="B86" s="756" t="s">
        <v>77</v>
      </c>
      <c r="C86" s="756"/>
      <c r="D86" s="756"/>
      <c r="E86" s="756"/>
      <c r="F86" s="756"/>
      <c r="G86" s="757">
        <f>990+98</f>
        <v>1088</v>
      </c>
      <c r="H86" s="758"/>
      <c r="I86" s="758"/>
      <c r="J86" s="758"/>
      <c r="K86" s="759"/>
      <c r="L86" s="757">
        <v>1174</v>
      </c>
      <c r="M86" s="758"/>
      <c r="N86" s="758"/>
      <c r="O86" s="758"/>
      <c r="P86" s="759"/>
      <c r="Q86" s="757">
        <v>1207</v>
      </c>
      <c r="R86" s="758"/>
      <c r="S86" s="758"/>
      <c r="T86" s="758"/>
      <c r="U86" s="759"/>
      <c r="V86" s="763">
        <v>1103</v>
      </c>
      <c r="W86" s="763"/>
      <c r="X86" s="763"/>
      <c r="Y86" s="763"/>
      <c r="Z86" s="763"/>
      <c r="AA86" s="764">
        <f>77+122+80+81</f>
        <v>360</v>
      </c>
      <c r="AB86" s="764"/>
      <c r="AC86" s="764"/>
      <c r="AD86" s="764"/>
      <c r="AE86" s="764"/>
      <c r="AF86" s="16"/>
      <c r="AG86" s="16"/>
      <c r="AH86" s="16"/>
      <c r="AI86" s="755"/>
      <c r="AJ86" s="755"/>
      <c r="AK86" s="755"/>
      <c r="AL86" s="13"/>
      <c r="AM86" s="13"/>
      <c r="AN86" s="13"/>
      <c r="AO86" s="13"/>
      <c r="AY86" s="246"/>
      <c r="AZ86" s="246"/>
    </row>
    <row r="87" spans="1:54" s="1" customFormat="1" ht="15.6" customHeight="1" x14ac:dyDescent="0.15">
      <c r="A87" s="49"/>
      <c r="B87" s="756" t="s">
        <v>76</v>
      </c>
      <c r="C87" s="756"/>
      <c r="D87" s="756"/>
      <c r="E87" s="756"/>
      <c r="F87" s="756"/>
      <c r="G87" s="757">
        <v>91</v>
      </c>
      <c r="H87" s="758"/>
      <c r="I87" s="758"/>
      <c r="J87" s="758"/>
      <c r="K87" s="759"/>
      <c r="L87" s="757">
        <f>L86/12</f>
        <v>97.833333333333329</v>
      </c>
      <c r="M87" s="758"/>
      <c r="N87" s="758"/>
      <c r="O87" s="758"/>
      <c r="P87" s="759"/>
      <c r="Q87" s="757">
        <f>Q86/12</f>
        <v>100.58333333333333</v>
      </c>
      <c r="R87" s="758"/>
      <c r="S87" s="758"/>
      <c r="T87" s="758"/>
      <c r="U87" s="759"/>
      <c r="V87" s="757">
        <f>V86/12</f>
        <v>91.916666666666671</v>
      </c>
      <c r="W87" s="758"/>
      <c r="X87" s="758"/>
      <c r="Y87" s="758"/>
      <c r="Z87" s="759"/>
      <c r="AA87" s="760">
        <f>AA86/4</f>
        <v>90</v>
      </c>
      <c r="AB87" s="761"/>
      <c r="AC87" s="761"/>
      <c r="AD87" s="761"/>
      <c r="AE87" s="762"/>
      <c r="AF87" s="16"/>
      <c r="AG87" s="16"/>
      <c r="AH87" s="16"/>
      <c r="AI87" s="889"/>
      <c r="AJ87" s="13"/>
      <c r="AK87" s="13"/>
      <c r="AL87" s="13"/>
      <c r="AM87" s="13"/>
      <c r="AN87" s="13"/>
      <c r="AO87" s="13"/>
      <c r="AY87" s="246"/>
      <c r="AZ87" s="246"/>
    </row>
    <row r="88" spans="1:54" s="1" customFormat="1" ht="15.6" customHeight="1" x14ac:dyDescent="0.15">
      <c r="A88" s="49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3"/>
      <c r="AJ88" s="13"/>
      <c r="AK88" s="13"/>
      <c r="AL88" s="13"/>
      <c r="AM88" s="13"/>
      <c r="AN88" s="13"/>
      <c r="AO88" s="13"/>
      <c r="AY88" s="246"/>
      <c r="AZ88" s="246"/>
    </row>
    <row r="89" spans="1:54" s="1" customFormat="1" ht="15.6" customHeight="1" x14ac:dyDescent="0.15">
      <c r="A89" s="50" t="s">
        <v>63</v>
      </c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AA89" s="75" t="s">
        <v>115</v>
      </c>
      <c r="AB89" s="75"/>
      <c r="AC89" s="75"/>
      <c r="AD89" s="75"/>
      <c r="AE89" s="75"/>
      <c r="AF89" s="16"/>
      <c r="AG89" s="16"/>
      <c r="AH89" s="16"/>
      <c r="AI89" s="13"/>
      <c r="AJ89" s="13"/>
      <c r="AK89" s="13"/>
      <c r="AL89" s="13"/>
      <c r="AM89" s="13"/>
      <c r="AN89" s="13"/>
      <c r="AO89" s="13"/>
      <c r="AY89" s="246"/>
      <c r="AZ89" s="246"/>
    </row>
    <row r="90" spans="1:54" s="1" customFormat="1" ht="15.6" customHeight="1" x14ac:dyDescent="0.15">
      <c r="A90" s="49"/>
      <c r="B90" s="765" t="s">
        <v>70</v>
      </c>
      <c r="C90" s="766"/>
      <c r="D90" s="767"/>
      <c r="E90" s="765" t="s">
        <v>50</v>
      </c>
      <c r="F90" s="766"/>
      <c r="G90" s="766"/>
      <c r="H90" s="766"/>
      <c r="I90" s="767"/>
      <c r="J90" s="751" t="s">
        <v>133</v>
      </c>
      <c r="K90" s="752"/>
      <c r="L90" s="752"/>
      <c r="M90" s="752"/>
      <c r="N90" s="752"/>
      <c r="O90" s="752"/>
      <c r="P90" s="752"/>
      <c r="Q90" s="753"/>
      <c r="R90" s="751" t="s">
        <v>146</v>
      </c>
      <c r="S90" s="752"/>
      <c r="T90" s="752"/>
      <c r="U90" s="752"/>
      <c r="V90" s="752"/>
      <c r="W90" s="752"/>
      <c r="X90" s="752"/>
      <c r="Y90" s="753"/>
      <c r="Z90" s="751" t="s">
        <v>178</v>
      </c>
      <c r="AA90" s="752"/>
      <c r="AB90" s="752"/>
      <c r="AC90" s="752"/>
      <c r="AD90" s="752"/>
      <c r="AE90" s="752"/>
      <c r="AF90" s="752"/>
      <c r="AG90" s="753"/>
      <c r="AH90" s="16"/>
      <c r="AI90" s="13"/>
      <c r="AJ90" s="13"/>
      <c r="AK90" s="13"/>
      <c r="AL90" s="13"/>
      <c r="AM90" s="13"/>
      <c r="AN90" s="13"/>
      <c r="AO90" s="13"/>
      <c r="AY90" s="246"/>
      <c r="AZ90" s="246"/>
    </row>
    <row r="91" spans="1:54" s="1" customFormat="1" ht="15.6" customHeight="1" x14ac:dyDescent="0.15">
      <c r="A91" s="49"/>
      <c r="B91" s="785"/>
      <c r="C91" s="786"/>
      <c r="D91" s="787"/>
      <c r="E91" s="785"/>
      <c r="F91" s="786"/>
      <c r="G91" s="786"/>
      <c r="H91" s="786"/>
      <c r="I91" s="787"/>
      <c r="J91" s="788" t="s">
        <v>51</v>
      </c>
      <c r="K91" s="788"/>
      <c r="L91" s="788"/>
      <c r="M91" s="788"/>
      <c r="N91" s="765" t="s">
        <v>30</v>
      </c>
      <c r="O91" s="766"/>
      <c r="P91" s="766"/>
      <c r="Q91" s="767"/>
      <c r="R91" s="788" t="s">
        <v>51</v>
      </c>
      <c r="S91" s="788"/>
      <c r="T91" s="788"/>
      <c r="U91" s="788"/>
      <c r="V91" s="765" t="s">
        <v>30</v>
      </c>
      <c r="W91" s="766"/>
      <c r="X91" s="766"/>
      <c r="Y91" s="767"/>
      <c r="Z91" s="788" t="s">
        <v>51</v>
      </c>
      <c r="AA91" s="788"/>
      <c r="AB91" s="788"/>
      <c r="AC91" s="788"/>
      <c r="AD91" s="765" t="s">
        <v>30</v>
      </c>
      <c r="AE91" s="766"/>
      <c r="AF91" s="766"/>
      <c r="AG91" s="767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Y91" s="246"/>
      <c r="AZ91" s="246"/>
    </row>
    <row r="92" spans="1:54" s="1" customFormat="1" ht="15.6" customHeight="1" x14ac:dyDescent="0.15">
      <c r="A92" s="52"/>
      <c r="B92" s="768" t="s">
        <v>74</v>
      </c>
      <c r="C92" s="769"/>
      <c r="D92" s="770"/>
      <c r="E92" s="777" t="s">
        <v>52</v>
      </c>
      <c r="F92" s="777"/>
      <c r="G92" s="777"/>
      <c r="H92" s="777"/>
      <c r="I92" s="777"/>
      <c r="J92" s="778">
        <v>193</v>
      </c>
      <c r="K92" s="778"/>
      <c r="L92" s="778"/>
      <c r="M92" s="778"/>
      <c r="N92" s="779">
        <f>J92/SUM(J92:M96)</f>
        <v>0.15990057995028997</v>
      </c>
      <c r="O92" s="779"/>
      <c r="P92" s="779"/>
      <c r="Q92" s="779"/>
      <c r="R92" s="780">
        <v>206</v>
      </c>
      <c r="S92" s="778"/>
      <c r="T92" s="778"/>
      <c r="U92" s="778"/>
      <c r="V92" s="779">
        <f>R92/V86</f>
        <v>0.18676337262012693</v>
      </c>
      <c r="W92" s="779"/>
      <c r="X92" s="779"/>
      <c r="Y92" s="779"/>
      <c r="Z92" s="781">
        <f>13+27+18+18</f>
        <v>76</v>
      </c>
      <c r="AA92" s="782"/>
      <c r="AB92" s="782"/>
      <c r="AC92" s="782"/>
      <c r="AD92" s="814">
        <f>Z92/AA86</f>
        <v>0.21111111111111111</v>
      </c>
      <c r="AE92" s="814"/>
      <c r="AF92" s="814"/>
      <c r="AG92" s="814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Y92" s="789"/>
      <c r="AZ92" s="789"/>
    </row>
    <row r="93" spans="1:54" s="1" customFormat="1" ht="15.6" customHeight="1" x14ac:dyDescent="0.15">
      <c r="A93" s="52"/>
      <c r="B93" s="771"/>
      <c r="C93" s="772"/>
      <c r="D93" s="773"/>
      <c r="E93" s="784" t="s">
        <v>53</v>
      </c>
      <c r="F93" s="784"/>
      <c r="G93" s="784"/>
      <c r="H93" s="784"/>
      <c r="I93" s="784"/>
      <c r="J93" s="790">
        <v>600</v>
      </c>
      <c r="K93" s="790"/>
      <c r="L93" s="790"/>
      <c r="M93" s="790"/>
      <c r="N93" s="791">
        <f>J93/SUM(J92:M96)</f>
        <v>0.4971002485501243</v>
      </c>
      <c r="O93" s="791"/>
      <c r="P93" s="791"/>
      <c r="Q93" s="791"/>
      <c r="R93" s="792">
        <v>391</v>
      </c>
      <c r="S93" s="790"/>
      <c r="T93" s="790"/>
      <c r="U93" s="790"/>
      <c r="V93" s="793">
        <f>R93/V86</f>
        <v>0.35448776065276516</v>
      </c>
      <c r="W93" s="794"/>
      <c r="X93" s="794"/>
      <c r="Y93" s="795"/>
      <c r="Z93" s="796">
        <f>42+50+26+32</f>
        <v>150</v>
      </c>
      <c r="AA93" s="797"/>
      <c r="AB93" s="797"/>
      <c r="AC93" s="797"/>
      <c r="AD93" s="783">
        <v>0.41599999999999998</v>
      </c>
      <c r="AE93" s="783"/>
      <c r="AF93" s="783"/>
      <c r="AG93" s="783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Y93" s="789"/>
      <c r="AZ93" s="789"/>
    </row>
    <row r="94" spans="1:54" s="1" customFormat="1" ht="15.6" customHeight="1" x14ac:dyDescent="0.15">
      <c r="A94" s="52"/>
      <c r="B94" s="771"/>
      <c r="C94" s="772"/>
      <c r="D94" s="773"/>
      <c r="E94" s="784" t="s">
        <v>54</v>
      </c>
      <c r="F94" s="784"/>
      <c r="G94" s="784"/>
      <c r="H94" s="784"/>
      <c r="I94" s="784"/>
      <c r="J94" s="790">
        <v>20</v>
      </c>
      <c r="K94" s="790"/>
      <c r="L94" s="790"/>
      <c r="M94" s="790"/>
      <c r="N94" s="791">
        <f>J94/SUM(J92:M96)</f>
        <v>1.6570008285004142E-2</v>
      </c>
      <c r="O94" s="791"/>
      <c r="P94" s="791"/>
      <c r="Q94" s="791"/>
      <c r="R94" s="792">
        <v>15</v>
      </c>
      <c r="S94" s="790"/>
      <c r="T94" s="790"/>
      <c r="U94" s="790"/>
      <c r="V94" s="793">
        <f>R94/V86</f>
        <v>1.3599274705349048E-2</v>
      </c>
      <c r="W94" s="794"/>
      <c r="X94" s="794"/>
      <c r="Y94" s="795"/>
      <c r="Z94" s="796">
        <f>2+0+4+0</f>
        <v>6</v>
      </c>
      <c r="AA94" s="797"/>
      <c r="AB94" s="797"/>
      <c r="AC94" s="797"/>
      <c r="AD94" s="783">
        <f>Z94/AA86</f>
        <v>1.6666666666666666E-2</v>
      </c>
      <c r="AE94" s="783"/>
      <c r="AF94" s="783"/>
      <c r="AG94" s="783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Y94" s="789"/>
      <c r="AZ94" s="789"/>
    </row>
    <row r="95" spans="1:54" s="1" customFormat="1" ht="15.6" customHeight="1" x14ac:dyDescent="0.15">
      <c r="A95" s="52"/>
      <c r="B95" s="771"/>
      <c r="C95" s="772"/>
      <c r="D95" s="773"/>
      <c r="E95" s="798" t="s">
        <v>55</v>
      </c>
      <c r="F95" s="798"/>
      <c r="G95" s="798"/>
      <c r="H95" s="798"/>
      <c r="I95" s="798"/>
      <c r="J95" s="790">
        <v>0</v>
      </c>
      <c r="K95" s="790"/>
      <c r="L95" s="790"/>
      <c r="M95" s="790"/>
      <c r="N95" s="791">
        <f>J95/SUM(J92:M96)</f>
        <v>0</v>
      </c>
      <c r="O95" s="791"/>
      <c r="P95" s="791"/>
      <c r="Q95" s="791"/>
      <c r="R95" s="792">
        <v>0</v>
      </c>
      <c r="S95" s="790"/>
      <c r="T95" s="790"/>
      <c r="U95" s="790"/>
      <c r="V95" s="793">
        <v>0</v>
      </c>
      <c r="W95" s="794"/>
      <c r="X95" s="794"/>
      <c r="Y95" s="795"/>
      <c r="Z95" s="796">
        <f>0+0+0+0</f>
        <v>0</v>
      </c>
      <c r="AA95" s="797"/>
      <c r="AB95" s="797"/>
      <c r="AC95" s="797"/>
      <c r="AD95" s="783">
        <v>0</v>
      </c>
      <c r="AE95" s="783"/>
      <c r="AF95" s="783"/>
      <c r="AG95" s="783"/>
      <c r="AH95" s="13"/>
      <c r="AI95" s="16"/>
      <c r="AJ95" s="16"/>
      <c r="AK95" s="799"/>
      <c r="AL95" s="799"/>
      <c r="AM95" s="799"/>
      <c r="AN95" s="13"/>
      <c r="AO95" s="13"/>
      <c r="AP95" s="72"/>
      <c r="AQ95" s="72"/>
      <c r="AR95" s="72"/>
      <c r="AS95" s="72"/>
      <c r="AT95" s="72"/>
      <c r="AU95" s="72"/>
      <c r="AV95" s="73"/>
      <c r="AW95" s="73"/>
      <c r="AX95" s="73"/>
      <c r="AY95" s="789"/>
      <c r="AZ95" s="789"/>
      <c r="BA95" s="73"/>
    </row>
    <row r="96" spans="1:54" s="1" customFormat="1" ht="15.6" customHeight="1" x14ac:dyDescent="0.15">
      <c r="A96" s="52"/>
      <c r="B96" s="774"/>
      <c r="C96" s="775"/>
      <c r="D96" s="776"/>
      <c r="E96" s="805" t="s">
        <v>56</v>
      </c>
      <c r="F96" s="805"/>
      <c r="G96" s="805"/>
      <c r="H96" s="805"/>
      <c r="I96" s="805"/>
      <c r="J96" s="806">
        <v>394</v>
      </c>
      <c r="K96" s="806"/>
      <c r="L96" s="806"/>
      <c r="M96" s="806"/>
      <c r="N96" s="807">
        <v>0.32600000000000001</v>
      </c>
      <c r="O96" s="807"/>
      <c r="P96" s="807"/>
      <c r="Q96" s="807"/>
      <c r="R96" s="808">
        <v>491</v>
      </c>
      <c r="S96" s="806"/>
      <c r="T96" s="806"/>
      <c r="U96" s="806"/>
      <c r="V96" s="809">
        <f>R96/V86</f>
        <v>0.44514959202175886</v>
      </c>
      <c r="W96" s="810"/>
      <c r="X96" s="810"/>
      <c r="Y96" s="811"/>
      <c r="Z96" s="812">
        <f>20+45+32+31</f>
        <v>128</v>
      </c>
      <c r="AA96" s="813"/>
      <c r="AB96" s="813"/>
      <c r="AC96" s="813"/>
      <c r="AD96" s="783">
        <f>Z96/AA86</f>
        <v>0.35555555555555557</v>
      </c>
      <c r="AE96" s="783"/>
      <c r="AF96" s="783"/>
      <c r="AG96" s="783"/>
      <c r="AH96" s="13"/>
      <c r="AI96" s="13"/>
      <c r="AJ96" s="800"/>
      <c r="AK96" s="800"/>
      <c r="AL96" s="800"/>
      <c r="AM96" s="13"/>
      <c r="AN96" s="13"/>
      <c r="AO96" s="13"/>
      <c r="AP96" s="13"/>
      <c r="AQ96" s="13"/>
      <c r="AY96" s="789"/>
      <c r="AZ96" s="789"/>
      <c r="BA96" s="801"/>
      <c r="BB96" s="801"/>
    </row>
    <row r="97" spans="1:54" s="1" customFormat="1" ht="15.6" customHeight="1" x14ac:dyDescent="0.15">
      <c r="A97" s="52"/>
      <c r="B97" s="768" t="s">
        <v>75</v>
      </c>
      <c r="C97" s="769"/>
      <c r="D97" s="770"/>
      <c r="E97" s="777" t="s">
        <v>57</v>
      </c>
      <c r="F97" s="777"/>
      <c r="G97" s="777"/>
      <c r="H97" s="777"/>
      <c r="I97" s="777"/>
      <c r="J97" s="778">
        <v>113</v>
      </c>
      <c r="K97" s="778"/>
      <c r="L97" s="778"/>
      <c r="M97" s="778"/>
      <c r="N97" s="779">
        <f>J97/SUM(J97:M100)</f>
        <v>9.3620546810273403E-2</v>
      </c>
      <c r="O97" s="779"/>
      <c r="P97" s="779"/>
      <c r="Q97" s="779"/>
      <c r="R97" s="778">
        <v>86</v>
      </c>
      <c r="S97" s="778"/>
      <c r="T97" s="778"/>
      <c r="U97" s="778"/>
      <c r="V97" s="802">
        <f>R97/SUM(R97:U100)</f>
        <v>7.7969174977334549E-2</v>
      </c>
      <c r="W97" s="803"/>
      <c r="X97" s="803"/>
      <c r="Y97" s="804"/>
      <c r="Z97" s="782">
        <f>3+16+6+5</f>
        <v>30</v>
      </c>
      <c r="AA97" s="782"/>
      <c r="AB97" s="782"/>
      <c r="AC97" s="782"/>
      <c r="AD97" s="814">
        <f>Z97/AA86</f>
        <v>8.3333333333333329E-2</v>
      </c>
      <c r="AE97" s="814"/>
      <c r="AF97" s="814"/>
      <c r="AG97" s="814"/>
      <c r="AH97" s="13"/>
      <c r="AI97" s="13"/>
      <c r="AJ97" s="13"/>
      <c r="AK97" s="799"/>
      <c r="AL97" s="799"/>
      <c r="AM97" s="799"/>
      <c r="AN97" s="13"/>
      <c r="AO97" s="13"/>
      <c r="AP97" s="13"/>
      <c r="AQ97" s="13"/>
      <c r="AY97" s="789"/>
      <c r="AZ97" s="789"/>
    </row>
    <row r="98" spans="1:54" s="1" customFormat="1" ht="15.6" customHeight="1" x14ac:dyDescent="0.15">
      <c r="A98" s="52"/>
      <c r="B98" s="771"/>
      <c r="C98" s="772"/>
      <c r="D98" s="773"/>
      <c r="E98" s="784" t="s">
        <v>58</v>
      </c>
      <c r="F98" s="784"/>
      <c r="G98" s="784"/>
      <c r="H98" s="784"/>
      <c r="I98" s="784"/>
      <c r="J98" s="790">
        <v>62</v>
      </c>
      <c r="K98" s="790"/>
      <c r="L98" s="790"/>
      <c r="M98" s="790"/>
      <c r="N98" s="791">
        <f>J98/SUM(J97:M100)</f>
        <v>5.136702568351284E-2</v>
      </c>
      <c r="O98" s="791"/>
      <c r="P98" s="791"/>
      <c r="Q98" s="791"/>
      <c r="R98" s="790">
        <v>57</v>
      </c>
      <c r="S98" s="790"/>
      <c r="T98" s="790"/>
      <c r="U98" s="790"/>
      <c r="V98" s="793">
        <f>R98/SUM(R97:U100)</f>
        <v>5.1677243880326386E-2</v>
      </c>
      <c r="W98" s="794"/>
      <c r="X98" s="794"/>
      <c r="Y98" s="795"/>
      <c r="Z98" s="797">
        <f>2+2+7+5</f>
        <v>16</v>
      </c>
      <c r="AA98" s="797"/>
      <c r="AB98" s="797"/>
      <c r="AC98" s="797"/>
      <c r="AD98" s="783">
        <v>4.4999999999999998E-2</v>
      </c>
      <c r="AE98" s="783"/>
      <c r="AF98" s="783"/>
      <c r="AG98" s="78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Y98" s="789"/>
      <c r="AZ98" s="789"/>
    </row>
    <row r="99" spans="1:54" s="3" customFormat="1" ht="15.6" customHeight="1" x14ac:dyDescent="0.15">
      <c r="A99" s="52"/>
      <c r="B99" s="771"/>
      <c r="C99" s="772"/>
      <c r="D99" s="773"/>
      <c r="E99" s="784" t="s">
        <v>59</v>
      </c>
      <c r="F99" s="784"/>
      <c r="G99" s="784"/>
      <c r="H99" s="784"/>
      <c r="I99" s="784"/>
      <c r="J99" s="790">
        <v>341</v>
      </c>
      <c r="K99" s="790"/>
      <c r="L99" s="790"/>
      <c r="M99" s="790"/>
      <c r="N99" s="791">
        <f>J99/SUM(J97:M100)</f>
        <v>0.28251864125932064</v>
      </c>
      <c r="O99" s="791"/>
      <c r="P99" s="791"/>
      <c r="Q99" s="791"/>
      <c r="R99" s="790">
        <v>361</v>
      </c>
      <c r="S99" s="790"/>
      <c r="T99" s="790"/>
      <c r="U99" s="790"/>
      <c r="V99" s="793">
        <f>R99/SUM(R97:U100)</f>
        <v>0.32728921124206711</v>
      </c>
      <c r="W99" s="794"/>
      <c r="X99" s="794"/>
      <c r="Y99" s="795"/>
      <c r="Z99" s="797">
        <f>21+36+30+21</f>
        <v>108</v>
      </c>
      <c r="AA99" s="797"/>
      <c r="AB99" s="797"/>
      <c r="AC99" s="797"/>
      <c r="AD99" s="783">
        <f>Z99/AA86</f>
        <v>0.3</v>
      </c>
      <c r="AE99" s="783"/>
      <c r="AF99" s="783"/>
      <c r="AG99" s="78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Y99" s="789"/>
      <c r="AZ99" s="789"/>
    </row>
    <row r="100" spans="1:54" s="3" customFormat="1" ht="15.6" customHeight="1" x14ac:dyDescent="0.15">
      <c r="A100" s="52"/>
      <c r="B100" s="774"/>
      <c r="C100" s="775"/>
      <c r="D100" s="776"/>
      <c r="E100" s="805" t="s">
        <v>56</v>
      </c>
      <c r="F100" s="805"/>
      <c r="G100" s="805"/>
      <c r="H100" s="805"/>
      <c r="I100" s="805"/>
      <c r="J100" s="806">
        <v>691</v>
      </c>
      <c r="K100" s="806"/>
      <c r="L100" s="806"/>
      <c r="M100" s="806"/>
      <c r="N100" s="807">
        <f>J100/SUM(J97:M100)</f>
        <v>0.57249378624689318</v>
      </c>
      <c r="O100" s="807"/>
      <c r="P100" s="807"/>
      <c r="Q100" s="807"/>
      <c r="R100" s="806">
        <v>599</v>
      </c>
      <c r="S100" s="806"/>
      <c r="T100" s="806"/>
      <c r="U100" s="806"/>
      <c r="V100" s="809">
        <f>R100/SUM(R97:U100)</f>
        <v>0.54306436990027196</v>
      </c>
      <c r="W100" s="810"/>
      <c r="X100" s="810"/>
      <c r="Y100" s="811"/>
      <c r="Z100" s="813">
        <f>51+68+37+50</f>
        <v>206</v>
      </c>
      <c r="AA100" s="813"/>
      <c r="AB100" s="813"/>
      <c r="AC100" s="813"/>
      <c r="AD100" s="817">
        <f>Z100/AA86</f>
        <v>0.57222222222222219</v>
      </c>
      <c r="AE100" s="817"/>
      <c r="AF100" s="817"/>
      <c r="AG100" s="817"/>
      <c r="AH100" s="13"/>
      <c r="AI100" s="13"/>
      <c r="AJ100" s="800"/>
      <c r="AK100" s="800"/>
      <c r="AL100" s="800"/>
      <c r="AM100" s="83"/>
      <c r="AN100" s="13"/>
      <c r="AO100" s="13"/>
      <c r="AP100" s="13"/>
      <c r="AQ100" s="13"/>
      <c r="AY100" s="789"/>
      <c r="AZ100" s="789"/>
      <c r="BA100" s="789"/>
      <c r="BB100" s="789"/>
    </row>
    <row r="101" spans="1:54" s="3" customFormat="1" ht="15.6" customHeight="1" x14ac:dyDescent="0.15">
      <c r="A101" s="55"/>
      <c r="Y101" s="2"/>
      <c r="Z101" s="2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Y101" s="79"/>
      <c r="AZ101" s="79"/>
    </row>
    <row r="102" spans="1:54" s="3" customFormat="1" ht="15.6" customHeight="1" x14ac:dyDescent="0.15">
      <c r="A102" s="14" t="s">
        <v>1</v>
      </c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AG102" s="4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Y102" s="79"/>
      <c r="AZ102" s="79"/>
    </row>
    <row r="103" spans="1:54" s="3" customFormat="1" ht="15.6" customHeight="1" x14ac:dyDescent="0.15">
      <c r="A103" s="50" t="s">
        <v>176</v>
      </c>
      <c r="AG103" s="4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Y103" s="79"/>
      <c r="AZ103" s="79"/>
    </row>
    <row r="104" spans="1:54" s="3" customFormat="1" ht="15.6" customHeight="1" x14ac:dyDescent="0.15">
      <c r="A104" s="55"/>
      <c r="B104" s="595" t="s">
        <v>14</v>
      </c>
      <c r="C104" s="595"/>
      <c r="D104" s="595" t="s">
        <v>15</v>
      </c>
      <c r="E104" s="595"/>
      <c r="F104" s="595"/>
      <c r="G104" s="595"/>
      <c r="H104" s="595"/>
      <c r="I104" s="595" t="s">
        <v>16</v>
      </c>
      <c r="J104" s="595"/>
      <c r="K104" s="595"/>
      <c r="L104" s="595"/>
      <c r="M104" s="595"/>
      <c r="N104" s="595" t="s">
        <v>17</v>
      </c>
      <c r="O104" s="595"/>
      <c r="P104" s="595"/>
      <c r="Q104" s="595"/>
      <c r="R104" s="595"/>
      <c r="S104" s="595" t="s">
        <v>18</v>
      </c>
      <c r="T104" s="595"/>
      <c r="U104" s="595"/>
      <c r="V104" s="595"/>
      <c r="W104" s="595"/>
      <c r="X104" s="595" t="s">
        <v>19</v>
      </c>
      <c r="Y104" s="595"/>
      <c r="Z104" s="595"/>
      <c r="AA104" s="595"/>
      <c r="AB104" s="595"/>
      <c r="AC104" s="595" t="s">
        <v>20</v>
      </c>
      <c r="AD104" s="595"/>
      <c r="AE104" s="595"/>
      <c r="AF104" s="595"/>
      <c r="AG104" s="7"/>
      <c r="AH104" s="14"/>
      <c r="AI104" s="14"/>
      <c r="AJ104" s="14"/>
      <c r="AK104" s="14"/>
      <c r="AL104" s="14"/>
      <c r="AM104" s="14"/>
      <c r="AN104" s="14"/>
      <c r="AO104" s="14"/>
      <c r="AY104" s="79"/>
      <c r="AZ104" s="79"/>
    </row>
    <row r="105" spans="1:54" ht="15.6" customHeight="1" x14ac:dyDescent="0.15">
      <c r="A105" s="52"/>
      <c r="B105" s="815" t="s">
        <v>9</v>
      </c>
      <c r="C105" s="815"/>
      <c r="D105" s="816">
        <v>46</v>
      </c>
      <c r="E105" s="816"/>
      <c r="F105" s="816"/>
      <c r="G105" s="816"/>
      <c r="H105" s="816"/>
      <c r="I105" s="816">
        <v>2</v>
      </c>
      <c r="J105" s="816"/>
      <c r="K105" s="816"/>
      <c r="L105" s="816"/>
      <c r="M105" s="816"/>
      <c r="N105" s="816">
        <v>0</v>
      </c>
      <c r="O105" s="816"/>
      <c r="P105" s="816"/>
      <c r="Q105" s="816"/>
      <c r="R105" s="816"/>
      <c r="S105" s="816">
        <v>43</v>
      </c>
      <c r="T105" s="816"/>
      <c r="U105" s="816"/>
      <c r="V105" s="816"/>
      <c r="W105" s="816"/>
      <c r="X105" s="816">
        <v>19</v>
      </c>
      <c r="Y105" s="816"/>
      <c r="Z105" s="816"/>
      <c r="AA105" s="816"/>
      <c r="AB105" s="816"/>
      <c r="AC105" s="816">
        <f>S105-X105</f>
        <v>24</v>
      </c>
      <c r="AD105" s="816"/>
      <c r="AE105" s="816"/>
      <c r="AF105" s="816"/>
    </row>
    <row r="106" spans="1:54" ht="15.6" customHeight="1" x14ac:dyDescent="0.15">
      <c r="A106" s="50" t="s">
        <v>193</v>
      </c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</row>
    <row r="107" spans="1:54" ht="15.6" customHeight="1" x14ac:dyDescent="0.15">
      <c r="A107" s="55"/>
      <c r="B107" s="595" t="s">
        <v>14</v>
      </c>
      <c r="C107" s="595"/>
      <c r="D107" s="595" t="s">
        <v>15</v>
      </c>
      <c r="E107" s="595"/>
      <c r="F107" s="595"/>
      <c r="G107" s="595"/>
      <c r="H107" s="595"/>
      <c r="I107" s="595" t="s">
        <v>16</v>
      </c>
      <c r="J107" s="595"/>
      <c r="K107" s="595"/>
      <c r="L107" s="595"/>
      <c r="M107" s="595"/>
      <c r="N107" s="595" t="s">
        <v>17</v>
      </c>
      <c r="O107" s="595"/>
      <c r="P107" s="595"/>
      <c r="Q107" s="595"/>
      <c r="R107" s="595"/>
      <c r="S107" s="595" t="s">
        <v>18</v>
      </c>
      <c r="T107" s="595"/>
      <c r="U107" s="595"/>
      <c r="V107" s="595"/>
      <c r="W107" s="595"/>
      <c r="X107" s="595" t="s">
        <v>19</v>
      </c>
      <c r="Y107" s="595"/>
      <c r="Z107" s="595"/>
      <c r="AA107" s="595"/>
      <c r="AB107" s="595"/>
      <c r="AC107" s="595" t="s">
        <v>20</v>
      </c>
      <c r="AD107" s="595"/>
      <c r="AE107" s="595"/>
      <c r="AF107" s="595"/>
    </row>
    <row r="108" spans="1:54" s="7" customFormat="1" ht="15.6" customHeight="1" x14ac:dyDescent="0.15">
      <c r="A108" s="13"/>
      <c r="B108" s="827" t="s">
        <v>9</v>
      </c>
      <c r="C108" s="827"/>
      <c r="D108" s="750">
        <f>1+4+5+1</f>
        <v>11</v>
      </c>
      <c r="E108" s="750"/>
      <c r="F108" s="750"/>
      <c r="G108" s="750"/>
      <c r="H108" s="750"/>
      <c r="I108" s="750">
        <f>0+0+1+0</f>
        <v>1</v>
      </c>
      <c r="J108" s="750"/>
      <c r="K108" s="750"/>
      <c r="L108" s="750"/>
      <c r="M108" s="750"/>
      <c r="N108" s="750">
        <f>0+0+0+0</f>
        <v>0</v>
      </c>
      <c r="O108" s="750"/>
      <c r="P108" s="750"/>
      <c r="Q108" s="750"/>
      <c r="R108" s="750"/>
      <c r="S108" s="750">
        <f>3+3+0+3</f>
        <v>9</v>
      </c>
      <c r="T108" s="750"/>
      <c r="U108" s="750"/>
      <c r="V108" s="750"/>
      <c r="W108" s="750"/>
      <c r="X108" s="750">
        <f>0+6+1+2</f>
        <v>9</v>
      </c>
      <c r="Y108" s="750"/>
      <c r="Z108" s="750"/>
      <c r="AA108" s="750"/>
      <c r="AB108" s="750"/>
      <c r="AC108" s="750">
        <f>S108-X108</f>
        <v>0</v>
      </c>
      <c r="AD108" s="750"/>
      <c r="AE108" s="750"/>
      <c r="AF108" s="750"/>
      <c r="AY108" s="80"/>
      <c r="AZ108" s="80"/>
    </row>
    <row r="110" spans="1:54" ht="15.6" customHeight="1" x14ac:dyDescent="0.15">
      <c r="I110" s="820"/>
      <c r="J110" s="819"/>
      <c r="K110" s="819"/>
      <c r="L110" s="819"/>
      <c r="S110" s="820"/>
      <c r="T110" s="819"/>
      <c r="U110" s="819"/>
      <c r="V110" s="819"/>
      <c r="Z110" s="820"/>
      <c r="AA110" s="819"/>
      <c r="AB110" s="819"/>
      <c r="AC110" s="819"/>
    </row>
    <row r="111" spans="1:54" ht="15.6" customHeight="1" x14ac:dyDescent="0.15">
      <c r="D111" s="19"/>
      <c r="I111" s="819"/>
      <c r="J111" s="819"/>
      <c r="K111" s="819"/>
      <c r="L111" s="819"/>
      <c r="M111" s="819"/>
      <c r="N111" s="821"/>
      <c r="O111" s="821"/>
      <c r="P111" s="821"/>
      <c r="Q111" s="821"/>
      <c r="R111" s="819"/>
      <c r="S111" s="819"/>
      <c r="T111" s="819"/>
      <c r="U111" s="819"/>
      <c r="Z111" s="819"/>
      <c r="AA111" s="819"/>
      <c r="AB111" s="819"/>
      <c r="AC111" s="819"/>
    </row>
    <row r="112" spans="1:54" ht="15.6" customHeight="1" x14ac:dyDescent="0.15">
      <c r="I112" s="819"/>
      <c r="J112" s="819"/>
      <c r="K112" s="819"/>
      <c r="L112" s="819"/>
      <c r="M112" s="819"/>
      <c r="N112" s="819"/>
      <c r="O112" s="819"/>
      <c r="P112" s="819"/>
      <c r="Q112" s="819"/>
      <c r="R112" s="819"/>
      <c r="S112" s="819"/>
      <c r="T112" s="819"/>
      <c r="U112" s="819"/>
      <c r="Z112" s="819"/>
      <c r="AA112" s="819"/>
      <c r="AB112" s="819"/>
      <c r="AC112" s="819"/>
    </row>
    <row r="113" spans="4:29" ht="15.6" customHeight="1" x14ac:dyDescent="0.15">
      <c r="D113" s="19"/>
      <c r="I113" s="819"/>
      <c r="J113" s="819"/>
      <c r="K113" s="819"/>
      <c r="L113" s="819"/>
      <c r="M113" s="819"/>
      <c r="N113" s="819"/>
      <c r="O113" s="819"/>
      <c r="P113" s="819"/>
      <c r="Q113" s="819"/>
      <c r="R113" s="819"/>
      <c r="S113" s="819"/>
      <c r="T113" s="819"/>
      <c r="U113" s="819"/>
      <c r="Z113" s="819"/>
      <c r="AA113" s="819"/>
      <c r="AB113" s="819"/>
      <c r="AC113" s="819"/>
    </row>
  </sheetData>
  <mergeCells count="482">
    <mergeCell ref="I7:M7"/>
    <mergeCell ref="I8:M8"/>
    <mergeCell ref="V8:X8"/>
    <mergeCell ref="B11:H12"/>
    <mergeCell ref="I11:M12"/>
    <mergeCell ref="N11:R12"/>
    <mergeCell ref="S11:W12"/>
    <mergeCell ref="A1:AG2"/>
    <mergeCell ref="AA3:AG4"/>
    <mergeCell ref="AA5:AG5"/>
    <mergeCell ref="B6:D6"/>
    <mergeCell ref="F6:L6"/>
    <mergeCell ref="M6:O6"/>
    <mergeCell ref="AH13:AK13"/>
    <mergeCell ref="I14:M14"/>
    <mergeCell ref="N14:R14"/>
    <mergeCell ref="S14:W14"/>
    <mergeCell ref="X14:AA14"/>
    <mergeCell ref="AC14:AG14"/>
    <mergeCell ref="AH14:AK14"/>
    <mergeCell ref="Y11:AA11"/>
    <mergeCell ref="AC11:AG12"/>
    <mergeCell ref="Y12:AA12"/>
    <mergeCell ref="I13:M13"/>
    <mergeCell ref="N13:R13"/>
    <mergeCell ref="S13:W13"/>
    <mergeCell ref="X13:AA13"/>
    <mergeCell ref="AC13:AG13"/>
    <mergeCell ref="AH15:AK15"/>
    <mergeCell ref="B16:H16"/>
    <mergeCell ref="I16:M16"/>
    <mergeCell ref="N16:R16"/>
    <mergeCell ref="S16:W16"/>
    <mergeCell ref="X16:AA16"/>
    <mergeCell ref="AC16:AG16"/>
    <mergeCell ref="AH16:AK16"/>
    <mergeCell ref="B15:H15"/>
    <mergeCell ref="I15:M15"/>
    <mergeCell ref="N15:R15"/>
    <mergeCell ref="S15:W15"/>
    <mergeCell ref="X15:AA15"/>
    <mergeCell ref="AC15:AG15"/>
    <mergeCell ref="D19:H19"/>
    <mergeCell ref="I19:M19"/>
    <mergeCell ref="N19:R19"/>
    <mergeCell ref="B23:C23"/>
    <mergeCell ref="D23:H23"/>
    <mergeCell ref="I23:M23"/>
    <mergeCell ref="N23:R23"/>
    <mergeCell ref="AH17:AK17"/>
    <mergeCell ref="AX17:AY17"/>
    <mergeCell ref="B18:H18"/>
    <mergeCell ref="I18:M18"/>
    <mergeCell ref="N18:R18"/>
    <mergeCell ref="S18:W18"/>
    <mergeCell ref="X18:AA18"/>
    <mergeCell ref="AC18:AG18"/>
    <mergeCell ref="AH18:AK18"/>
    <mergeCell ref="B17:H17"/>
    <mergeCell ref="I17:M17"/>
    <mergeCell ref="N17:R17"/>
    <mergeCell ref="S17:W17"/>
    <mergeCell ref="X17:AA17"/>
    <mergeCell ref="AC17:AG17"/>
    <mergeCell ref="S23:X23"/>
    <mergeCell ref="Y23:AD23"/>
    <mergeCell ref="AE23:AG23"/>
    <mergeCell ref="B24:C24"/>
    <mergeCell ref="D24:H24"/>
    <mergeCell ref="I24:M24"/>
    <mergeCell ref="N24:R24"/>
    <mergeCell ref="S24:X24"/>
    <mergeCell ref="Y24:AD24"/>
    <mergeCell ref="AE24:AG24"/>
    <mergeCell ref="AC27:AD27"/>
    <mergeCell ref="AC30:AD30"/>
    <mergeCell ref="D28:G28"/>
    <mergeCell ref="L28:M28"/>
    <mergeCell ref="Q28:R28"/>
    <mergeCell ref="W28:X28"/>
    <mergeCell ref="AC28:AD28"/>
    <mergeCell ref="AC25:AD25"/>
    <mergeCell ref="D26:G26"/>
    <mergeCell ref="L26:M26"/>
    <mergeCell ref="Q26:R26"/>
    <mergeCell ref="W26:X26"/>
    <mergeCell ref="AC26:AD26"/>
    <mergeCell ref="D25:F25"/>
    <mergeCell ref="G25:H25"/>
    <mergeCell ref="L25:M25"/>
    <mergeCell ref="Q25:R25"/>
    <mergeCell ref="W25:X25"/>
    <mergeCell ref="D27:G27"/>
    <mergeCell ref="L27:M27"/>
    <mergeCell ref="Q27:R27"/>
    <mergeCell ref="W27:X27"/>
    <mergeCell ref="AJ38:AM38"/>
    <mergeCell ref="W34:X34"/>
    <mergeCell ref="AC34:AD34"/>
    <mergeCell ref="D35:G35"/>
    <mergeCell ref="W35:X35"/>
    <mergeCell ref="AC35:AD35"/>
    <mergeCell ref="B37:C37"/>
    <mergeCell ref="D37:H37"/>
    <mergeCell ref="I37:M37"/>
    <mergeCell ref="N37:R37"/>
    <mergeCell ref="S37:X37"/>
    <mergeCell ref="B25:C35"/>
    <mergeCell ref="Y37:AD37"/>
    <mergeCell ref="W31:X31"/>
    <mergeCell ref="AC31:AD31"/>
    <mergeCell ref="W32:X32"/>
    <mergeCell ref="AC32:AD32"/>
    <mergeCell ref="W33:X33"/>
    <mergeCell ref="AC33:AD33"/>
    <mergeCell ref="D29:G29"/>
    <mergeCell ref="Q29:R29"/>
    <mergeCell ref="W29:X29"/>
    <mergeCell ref="AC29:AD29"/>
    <mergeCell ref="W30:X30"/>
    <mergeCell ref="AC41:AD41"/>
    <mergeCell ref="AE37:AG37"/>
    <mergeCell ref="B38:C38"/>
    <mergeCell ref="D38:H38"/>
    <mergeCell ref="I38:M38"/>
    <mergeCell ref="N38:R38"/>
    <mergeCell ref="S38:X38"/>
    <mergeCell ref="Y38:AD38"/>
    <mergeCell ref="AE38:AG38"/>
    <mergeCell ref="W47:X47"/>
    <mergeCell ref="AC47:AD47"/>
    <mergeCell ref="D43:G43"/>
    <mergeCell ref="Q43:R43"/>
    <mergeCell ref="W43:X43"/>
    <mergeCell ref="AC43:AD43"/>
    <mergeCell ref="W44:X44"/>
    <mergeCell ref="AC44:AD44"/>
    <mergeCell ref="AJ39:AM39"/>
    <mergeCell ref="D40:G40"/>
    <mergeCell ref="AJ41:AM41"/>
    <mergeCell ref="D42:G42"/>
    <mergeCell ref="L42:M42"/>
    <mergeCell ref="Q42:R42"/>
    <mergeCell ref="W42:X42"/>
    <mergeCell ref="AC42:AD42"/>
    <mergeCell ref="L40:M40"/>
    <mergeCell ref="Q40:R40"/>
    <mergeCell ref="W40:X40"/>
    <mergeCell ref="AC40:AD40"/>
    <mergeCell ref="D41:G41"/>
    <mergeCell ref="L41:M41"/>
    <mergeCell ref="Q41:R41"/>
    <mergeCell ref="W41:X41"/>
    <mergeCell ref="W48:X48"/>
    <mergeCell ref="AC48:AD48"/>
    <mergeCell ref="D49:G49"/>
    <mergeCell ref="W49:X49"/>
    <mergeCell ref="AC49:AD49"/>
    <mergeCell ref="B56:E56"/>
    <mergeCell ref="F56:I56"/>
    <mergeCell ref="J56:M56"/>
    <mergeCell ref="N56:Q56"/>
    <mergeCell ref="R56:U56"/>
    <mergeCell ref="B39:C49"/>
    <mergeCell ref="D39:F39"/>
    <mergeCell ref="G39:H39"/>
    <mergeCell ref="L39:M39"/>
    <mergeCell ref="Q39:R39"/>
    <mergeCell ref="W39:X39"/>
    <mergeCell ref="AC39:AD39"/>
    <mergeCell ref="V56:Y56"/>
    <mergeCell ref="Z56:AC56"/>
    <mergeCell ref="AD56:AG56"/>
    <mergeCell ref="W45:X45"/>
    <mergeCell ref="AC45:AD45"/>
    <mergeCell ref="W46:X46"/>
    <mergeCell ref="AC46:AD46"/>
    <mergeCell ref="F57:I57"/>
    <mergeCell ref="J57:M57"/>
    <mergeCell ref="N57:Q57"/>
    <mergeCell ref="R57:U57"/>
    <mergeCell ref="V57:Y57"/>
    <mergeCell ref="Z57:AC57"/>
    <mergeCell ref="AQ58:AR58"/>
    <mergeCell ref="B59:E60"/>
    <mergeCell ref="F59:I59"/>
    <mergeCell ref="J59:M59"/>
    <mergeCell ref="N59:Q59"/>
    <mergeCell ref="R59:U59"/>
    <mergeCell ref="V59:Y59"/>
    <mergeCell ref="Z59:AC59"/>
    <mergeCell ref="AD59:AG59"/>
    <mergeCell ref="AQ59:AR59"/>
    <mergeCell ref="B57:E58"/>
    <mergeCell ref="AD60:AG60"/>
    <mergeCell ref="AQ60:AR60"/>
    <mergeCell ref="AD57:AG57"/>
    <mergeCell ref="F58:I58"/>
    <mergeCell ref="J58:M58"/>
    <mergeCell ref="N58:Q58"/>
    <mergeCell ref="R58:U58"/>
    <mergeCell ref="V58:Y58"/>
    <mergeCell ref="Z58:AC58"/>
    <mergeCell ref="AD58:AG58"/>
    <mergeCell ref="B61:E62"/>
    <mergeCell ref="F61:I61"/>
    <mergeCell ref="J61:M61"/>
    <mergeCell ref="N61:Q61"/>
    <mergeCell ref="R61:U61"/>
    <mergeCell ref="V61:Y61"/>
    <mergeCell ref="Z61:AC61"/>
    <mergeCell ref="AD61:AG61"/>
    <mergeCell ref="F60:I60"/>
    <mergeCell ref="J60:M60"/>
    <mergeCell ref="N60:Q60"/>
    <mergeCell ref="R60:U60"/>
    <mergeCell ref="V60:Y60"/>
    <mergeCell ref="Z60:AC60"/>
    <mergeCell ref="B65:D66"/>
    <mergeCell ref="E65:G66"/>
    <mergeCell ref="H65:J66"/>
    <mergeCell ref="K65:L66"/>
    <mergeCell ref="M65:N66"/>
    <mergeCell ref="O65:Q66"/>
    <mergeCell ref="R65:S66"/>
    <mergeCell ref="T65:U66"/>
    <mergeCell ref="AQ61:AR61"/>
    <mergeCell ref="F62:I62"/>
    <mergeCell ref="J62:M62"/>
    <mergeCell ref="N62:Q62"/>
    <mergeCell ref="R62:U62"/>
    <mergeCell ref="V62:Y62"/>
    <mergeCell ref="Z62:AC62"/>
    <mergeCell ref="AD62:AG62"/>
    <mergeCell ref="AQ62:AR62"/>
    <mergeCell ref="V65:W66"/>
    <mergeCell ref="X65:Y66"/>
    <mergeCell ref="Z65:AB66"/>
    <mergeCell ref="AC65:AD66"/>
    <mergeCell ref="AE65:AG66"/>
    <mergeCell ref="AQ65:AR65"/>
    <mergeCell ref="AQ66:AR66"/>
    <mergeCell ref="AQ63:AR63"/>
    <mergeCell ref="AQ64:AR64"/>
    <mergeCell ref="B69:D70"/>
    <mergeCell ref="E69:G70"/>
    <mergeCell ref="H69:J70"/>
    <mergeCell ref="K69:L70"/>
    <mergeCell ref="M69:N70"/>
    <mergeCell ref="O69:Q70"/>
    <mergeCell ref="R69:S70"/>
    <mergeCell ref="R67:S68"/>
    <mergeCell ref="T67:U68"/>
    <mergeCell ref="B67:D68"/>
    <mergeCell ref="E67:G68"/>
    <mergeCell ref="H67:J68"/>
    <mergeCell ref="K67:L68"/>
    <mergeCell ref="M67:N68"/>
    <mergeCell ref="O67:Q68"/>
    <mergeCell ref="T69:U70"/>
    <mergeCell ref="V69:W70"/>
    <mergeCell ref="X69:Y70"/>
    <mergeCell ref="Z69:AB70"/>
    <mergeCell ref="AC69:AD70"/>
    <mergeCell ref="AE69:AG70"/>
    <mergeCell ref="AE67:AG68"/>
    <mergeCell ref="AQ67:AR67"/>
    <mergeCell ref="AQ68:AR68"/>
    <mergeCell ref="V67:W68"/>
    <mergeCell ref="X67:Y68"/>
    <mergeCell ref="Z67:AB68"/>
    <mergeCell ref="AC67:AD68"/>
    <mergeCell ref="AE71:AG72"/>
    <mergeCell ref="B73:D73"/>
    <mergeCell ref="E73:G73"/>
    <mergeCell ref="H73:J73"/>
    <mergeCell ref="K73:L73"/>
    <mergeCell ref="M73:N73"/>
    <mergeCell ref="O73:Q73"/>
    <mergeCell ref="R73:S73"/>
    <mergeCell ref="T73:U73"/>
    <mergeCell ref="V73:W73"/>
    <mergeCell ref="R71:S72"/>
    <mergeCell ref="T71:U72"/>
    <mergeCell ref="V71:W72"/>
    <mergeCell ref="X71:Y72"/>
    <mergeCell ref="Z71:AB72"/>
    <mergeCell ref="AC71:AD72"/>
    <mergeCell ref="B71:D72"/>
    <mergeCell ref="E71:G72"/>
    <mergeCell ref="H71:J72"/>
    <mergeCell ref="K71:L72"/>
    <mergeCell ref="M71:N72"/>
    <mergeCell ref="O71:Q72"/>
    <mergeCell ref="X73:Y73"/>
    <mergeCell ref="Z73:AB73"/>
    <mergeCell ref="AC73:AD73"/>
    <mergeCell ref="AE73:AG73"/>
    <mergeCell ref="B76:G77"/>
    <mergeCell ref="H76:Y76"/>
    <mergeCell ref="Z76:AG77"/>
    <mergeCell ref="H77:M77"/>
    <mergeCell ref="N77:S77"/>
    <mergeCell ref="T77:Y77"/>
    <mergeCell ref="B78:G78"/>
    <mergeCell ref="H78:M78"/>
    <mergeCell ref="N78:S78"/>
    <mergeCell ref="T78:Y78"/>
    <mergeCell ref="Z78:AG78"/>
    <mergeCell ref="B79:G79"/>
    <mergeCell ref="H79:M79"/>
    <mergeCell ref="N79:S79"/>
    <mergeCell ref="T79:Y79"/>
    <mergeCell ref="Z79:AG79"/>
    <mergeCell ref="B80:G80"/>
    <mergeCell ref="H80:M80"/>
    <mergeCell ref="N80:S80"/>
    <mergeCell ref="T80:Y80"/>
    <mergeCell ref="Z80:AG80"/>
    <mergeCell ref="B81:G81"/>
    <mergeCell ref="H81:M81"/>
    <mergeCell ref="N81:S81"/>
    <mergeCell ref="T81:Y81"/>
    <mergeCell ref="Z81:AG81"/>
    <mergeCell ref="B82:G82"/>
    <mergeCell ref="H82:M82"/>
    <mergeCell ref="N82:S82"/>
    <mergeCell ref="T82:Y82"/>
    <mergeCell ref="Z82:AG82"/>
    <mergeCell ref="B85:F85"/>
    <mergeCell ref="G85:K85"/>
    <mergeCell ref="L85:P85"/>
    <mergeCell ref="Q85:U85"/>
    <mergeCell ref="V85:Z85"/>
    <mergeCell ref="AI86:AK86"/>
    <mergeCell ref="B87:F87"/>
    <mergeCell ref="G87:K87"/>
    <mergeCell ref="L87:P87"/>
    <mergeCell ref="Q87:U87"/>
    <mergeCell ref="V87:Z87"/>
    <mergeCell ref="AA87:AE87"/>
    <mergeCell ref="AA85:AE85"/>
    <mergeCell ref="B86:F86"/>
    <mergeCell ref="G86:K86"/>
    <mergeCell ref="L86:P86"/>
    <mergeCell ref="Q86:U86"/>
    <mergeCell ref="V86:Z86"/>
    <mergeCell ref="AA86:AE86"/>
    <mergeCell ref="AD91:AG91"/>
    <mergeCell ref="B92:D96"/>
    <mergeCell ref="E92:I92"/>
    <mergeCell ref="J92:M92"/>
    <mergeCell ref="N92:Q92"/>
    <mergeCell ref="R92:U92"/>
    <mergeCell ref="V92:Y92"/>
    <mergeCell ref="Z92:AC92"/>
    <mergeCell ref="AD92:AG92"/>
    <mergeCell ref="E94:I94"/>
    <mergeCell ref="B90:D91"/>
    <mergeCell ref="E90:I91"/>
    <mergeCell ref="J90:Q90"/>
    <mergeCell ref="R90:Y90"/>
    <mergeCell ref="Z90:AG90"/>
    <mergeCell ref="J91:M91"/>
    <mergeCell ref="N91:Q91"/>
    <mergeCell ref="R91:U91"/>
    <mergeCell ref="V91:Y91"/>
    <mergeCell ref="Z91:AC91"/>
    <mergeCell ref="AD96:AG96"/>
    <mergeCell ref="AY92:AZ92"/>
    <mergeCell ref="E93:I93"/>
    <mergeCell ref="J93:M93"/>
    <mergeCell ref="N93:Q93"/>
    <mergeCell ref="R93:U93"/>
    <mergeCell ref="V93:Y93"/>
    <mergeCell ref="Z93:AC93"/>
    <mergeCell ref="AD93:AG93"/>
    <mergeCell ref="AY93:AZ93"/>
    <mergeCell ref="AY94:AZ94"/>
    <mergeCell ref="E95:I95"/>
    <mergeCell ref="J95:M95"/>
    <mergeCell ref="N95:Q95"/>
    <mergeCell ref="R95:U95"/>
    <mergeCell ref="V95:Y95"/>
    <mergeCell ref="Z95:AC95"/>
    <mergeCell ref="AD95:AG95"/>
    <mergeCell ref="AK95:AM95"/>
    <mergeCell ref="AY95:AZ95"/>
    <mergeCell ref="J94:M94"/>
    <mergeCell ref="N94:Q94"/>
    <mergeCell ref="R94:U94"/>
    <mergeCell ref="V94:Y94"/>
    <mergeCell ref="Z94:AC94"/>
    <mergeCell ref="AD94:AG94"/>
    <mergeCell ref="AJ96:AL96"/>
    <mergeCell ref="AY96:AZ96"/>
    <mergeCell ref="BA96:BB96"/>
    <mergeCell ref="B97:D100"/>
    <mergeCell ref="E97:I97"/>
    <mergeCell ref="J97:M97"/>
    <mergeCell ref="N97:Q97"/>
    <mergeCell ref="R97:U97"/>
    <mergeCell ref="V97:Y97"/>
    <mergeCell ref="E96:I96"/>
    <mergeCell ref="J96:M96"/>
    <mergeCell ref="N96:Q96"/>
    <mergeCell ref="R96:U96"/>
    <mergeCell ref="V96:Y96"/>
    <mergeCell ref="Z96:AC96"/>
    <mergeCell ref="Z97:AC97"/>
    <mergeCell ref="AD97:AG97"/>
    <mergeCell ref="AK97:AM97"/>
    <mergeCell ref="AY97:AZ97"/>
    <mergeCell ref="E98:I98"/>
    <mergeCell ref="J98:M98"/>
    <mergeCell ref="N98:Q98"/>
    <mergeCell ref="R98:U98"/>
    <mergeCell ref="V98:Y98"/>
    <mergeCell ref="Z98:AC98"/>
    <mergeCell ref="AD98:AG98"/>
    <mergeCell ref="AY98:AZ98"/>
    <mergeCell ref="E99:I99"/>
    <mergeCell ref="J99:M99"/>
    <mergeCell ref="N99:Q99"/>
    <mergeCell ref="R99:U99"/>
    <mergeCell ref="V99:Y99"/>
    <mergeCell ref="Z99:AC99"/>
    <mergeCell ref="AD99:AG99"/>
    <mergeCell ref="AY99:AZ99"/>
    <mergeCell ref="AJ100:AL100"/>
    <mergeCell ref="AY100:AZ100"/>
    <mergeCell ref="BA100:BB100"/>
    <mergeCell ref="B104:C104"/>
    <mergeCell ref="D104:H104"/>
    <mergeCell ref="I104:M104"/>
    <mergeCell ref="N104:R104"/>
    <mergeCell ref="S104:W104"/>
    <mergeCell ref="X104:AB104"/>
    <mergeCell ref="E100:I100"/>
    <mergeCell ref="J100:M100"/>
    <mergeCell ref="N100:Q100"/>
    <mergeCell ref="R100:U100"/>
    <mergeCell ref="V100:Y100"/>
    <mergeCell ref="Z100:AC100"/>
    <mergeCell ref="AC104:AF104"/>
    <mergeCell ref="B105:C105"/>
    <mergeCell ref="D105:H105"/>
    <mergeCell ref="I105:M105"/>
    <mergeCell ref="N105:R105"/>
    <mergeCell ref="S105:W105"/>
    <mergeCell ref="X105:AB105"/>
    <mergeCell ref="AC105:AF105"/>
    <mergeCell ref="AD100:AG100"/>
    <mergeCell ref="AC107:AF107"/>
    <mergeCell ref="B108:C108"/>
    <mergeCell ref="D108:H108"/>
    <mergeCell ref="I108:M108"/>
    <mergeCell ref="N108:R108"/>
    <mergeCell ref="S108:W108"/>
    <mergeCell ref="X108:AB108"/>
    <mergeCell ref="AC108:AF108"/>
    <mergeCell ref="B107:C107"/>
    <mergeCell ref="D107:H107"/>
    <mergeCell ref="I107:M107"/>
    <mergeCell ref="N107:R107"/>
    <mergeCell ref="S107:W107"/>
    <mergeCell ref="X107:AB107"/>
    <mergeCell ref="I112:M112"/>
    <mergeCell ref="N112:Q112"/>
    <mergeCell ref="R112:U112"/>
    <mergeCell ref="Z112:AC112"/>
    <mergeCell ref="I113:M113"/>
    <mergeCell ref="N113:Q113"/>
    <mergeCell ref="R113:U113"/>
    <mergeCell ref="Z113:AC113"/>
    <mergeCell ref="I110:L110"/>
    <mergeCell ref="S110:V110"/>
    <mergeCell ref="Z110:AC110"/>
    <mergeCell ref="I111:M111"/>
    <mergeCell ref="N111:Q111"/>
    <mergeCell ref="R111:U111"/>
    <mergeCell ref="Z111:AC111"/>
  </mergeCells>
  <phoneticPr fontId="9"/>
  <pageMargins left="0.59055118110236227" right="0.39370078740157483" top="0.39370078740157483" bottom="0.39370078740157483" header="0" footer="0"/>
  <pageSetup paperSize="9" scale="99" orientation="portrait" copies="9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13</vt:i4>
      </vt:variant>
    </vt:vector>
  </HeadingPairs>
  <TitlesOfParts>
    <vt:vector size="26" baseType="lpstr">
      <vt:lpstr>R5.4.1</vt:lpstr>
      <vt:lpstr>R5.3.1</vt:lpstr>
      <vt:lpstr>R5.2.1 </vt:lpstr>
      <vt:lpstr>R5.1.1</vt:lpstr>
      <vt:lpstr>R4.12.1 </vt:lpstr>
      <vt:lpstr>R4.11.1</vt:lpstr>
      <vt:lpstr>R4.10.1 </vt:lpstr>
      <vt:lpstr>R4.9.1 </vt:lpstr>
      <vt:lpstr>R4.8.1 </vt:lpstr>
      <vt:lpstr>R4.7.1 </vt:lpstr>
      <vt:lpstr>R4.６.1</vt:lpstr>
      <vt:lpstr>R4.５.1</vt:lpstr>
      <vt:lpstr>R4.4.1</vt:lpstr>
      <vt:lpstr>'R4.10.1 '!Print_Area</vt:lpstr>
      <vt:lpstr>R4.11.1!Print_Area</vt:lpstr>
      <vt:lpstr>'R4.12.1 '!Print_Area</vt:lpstr>
      <vt:lpstr>R4.4.1!Print_Area</vt:lpstr>
      <vt:lpstr>R4.５.1!Print_Area</vt:lpstr>
      <vt:lpstr>R4.６.1!Print_Area</vt:lpstr>
      <vt:lpstr>'R4.7.1 '!Print_Area</vt:lpstr>
      <vt:lpstr>'R4.8.1 '!Print_Area</vt:lpstr>
      <vt:lpstr>'R4.9.1 '!Print_Area</vt:lpstr>
      <vt:lpstr>R5.1.1!Print_Area</vt:lpstr>
      <vt:lpstr>'R5.2.1 '!Print_Area</vt:lpstr>
      <vt:lpstr>R5.3.1!Print_Area</vt:lpstr>
      <vt:lpstr>R5.4.1!Print_Area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12629</dc:creator>
  <cp:lastModifiedBy>Windows ユーザー</cp:lastModifiedBy>
  <cp:lastPrinted>2023-03-13T09:17:19Z</cp:lastPrinted>
  <dcterms:created xsi:type="dcterms:W3CDTF">2003-04-25T14:04:05Z</dcterms:created>
  <dcterms:modified xsi:type="dcterms:W3CDTF">2023-11-13T04:36:56Z</dcterms:modified>
</cp:coreProperties>
</file>